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1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fn.COUNTIFS" hidden="1">#NAME?</definedName>
    <definedName name="_xlfn.SUMIFS" hidden="1">#NAME?</definedName>
    <definedName name="Nguyennhan">'[1]Nguyen_nhan'!$B$3:$B$16</definedName>
    <definedName name="_xlnm.Print_Area" localSheetId="14">'06'!$A$1:$S$82</definedName>
    <definedName name="_xlnm.Print_Area" localSheetId="15">'07'!$A$1:$T$82</definedName>
    <definedName name="_xlnm.Print_Area" localSheetId="1">'Mãu BC mien giam 8'!$A$1:$N$36</definedName>
    <definedName name="_xlnm.Print_Titles" localSheetId="14">'06'!$6:$10</definedName>
    <definedName name="_xlnm.Print_Titles" localSheetId="12">'06.1'!$7:$12</definedName>
    <definedName name="_xlnm.Print_Titles" localSheetId="15">'07'!$6:$10</definedName>
    <definedName name="_xlnm.Print_Titles" localSheetId="13">'07.1'!$6:$11</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<sst xmlns="http://schemas.openxmlformats.org/spreadsheetml/2006/main" count="1317" uniqueCount="571">
  <si>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</si>
  <si>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</si>
  <si>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</si>
  <si>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</si>
  <si>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</si>
  <si>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</si>
  <si>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</si>
  <si>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</si>
  <si>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</si>
  <si>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</si>
  <si>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</si>
  <si>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</si>
  <si>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</si>
  <si>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</si>
  <si>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</si>
  <si>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</si>
  <si>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</si>
  <si>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</si>
  <si>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</si>
  <si>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</si>
  <si>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</si>
  <si>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</si>
  <si>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</si>
  <si>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</si>
  <si>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</si>
  <si>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</si>
  <si>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</si>
  <si>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</si>
  <si>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</si>
  <si>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</si>
  <si>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</si>
  <si>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</si>
  <si>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</si>
  <si>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</si>
  <si>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</si>
  <si>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</si>
  <si>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</si>
  <si>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</si>
  <si>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</si>
  <si>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</si>
  <si>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</si>
  <si>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</si>
  <si>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</si>
  <si>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</si>
  <si>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</si>
  <si>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</si>
  <si>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</si>
  <si>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</si>
  <si>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</si>
  <si>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</si>
  <si>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</si>
  <si>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</si>
  <si>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</si>
  <si>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</si>
  <si>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</si>
  <si>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</si>
  <si>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</si>
  <si>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</si>
  <si>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</si>
  <si>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</si>
  <si>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</si>
  <si>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</si>
  <si>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</si>
  <si>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</si>
  <si>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</si>
  <si>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</si>
  <si>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</si>
  <si>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</si>
  <si>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</si>
  <si>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</si>
  <si>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</si>
  <si>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</si>
  <si>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</si>
  <si>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</si>
  <si>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</si>
  <si>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</si>
  <si>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</si>
  <si>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</si>
  <si>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</si>
  <si>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</si>
  <si>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</si>
  <si>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</si>
  <si>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</si>
  <si>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</si>
  <si>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</si>
  <si>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</si>
  <si>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</si>
  <si>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</si>
  <si>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</si>
  <si>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</si>
  <si>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</si>
  <si>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</si>
  <si>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</si>
  <si>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</si>
  <si>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</si>
  <si>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</si>
  <si>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</si>
  <si>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</si>
  <si>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</si>
  <si>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</si>
  <si>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</si>
  <si>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</si>
  <si>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</si>
  <si>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</si>
  <si>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</si>
  <si>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</si>
  <si>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</si>
  <si>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</si>
  <si>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</si>
  <si>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</si>
  <si>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Trường hợp khác</t>
  </si>
  <si>
    <t>Chưa có điều kiện thi hành</t>
  </si>
  <si>
    <t>3.1</t>
  </si>
  <si>
    <t>3.2</t>
  </si>
  <si>
    <t>3.3</t>
  </si>
  <si>
    <t>4.1</t>
  </si>
  <si>
    <t>4.2</t>
  </si>
  <si>
    <t>4.3</t>
  </si>
  <si>
    <t>5.1</t>
  </si>
  <si>
    <t>5.2</t>
  </si>
  <si>
    <t>5.3</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</si>
  <si>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</si>
  <si>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</si>
  <si>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</si>
  <si>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</si>
  <si>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</si>
  <si>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</si>
  <si>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</si>
  <si>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</si>
  <si>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</si>
  <si>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</si>
  <si>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</si>
  <si>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</si>
  <si>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</si>
  <si>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</si>
  <si>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</si>
  <si>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</si>
  <si>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</si>
  <si>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</si>
  <si>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</si>
  <si>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</si>
  <si>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</si>
  <si>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</si>
  <si>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</si>
  <si>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</si>
  <si>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</si>
  <si>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</si>
  <si>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</si>
  <si>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</si>
  <si>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</si>
  <si>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</si>
  <si>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</si>
  <si>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</si>
  <si>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</si>
  <si>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</si>
  <si>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</si>
  <si>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</si>
  <si>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</si>
  <si>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</si>
  <si>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</si>
  <si>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</si>
  <si>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</si>
  <si>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</si>
  <si>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</si>
  <si>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</si>
  <si>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</si>
  <si>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</si>
  <si>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</si>
  <si>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</si>
  <si>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</si>
  <si>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</si>
  <si>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</si>
  <si>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</si>
  <si>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</si>
  <si>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</si>
  <si>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</si>
  <si>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</si>
  <si>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</si>
  <si>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</si>
  <si>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</si>
  <si>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</si>
  <si>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</si>
  <si>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</si>
  <si>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</si>
  <si>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</si>
  <si>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</si>
  <si>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</si>
  <si>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</si>
  <si>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</si>
  <si>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</si>
  <si>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</si>
  <si>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</si>
  <si>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</si>
  <si>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</si>
  <si>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</si>
  <si>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</si>
  <si>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</si>
  <si>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</si>
  <si>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</si>
  <si>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</si>
  <si>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</si>
  <si>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</si>
  <si>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</si>
  <si>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</si>
  <si>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</si>
  <si>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</si>
  <si>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</si>
  <si>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</si>
  <si>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</si>
  <si>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</si>
  <si>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</si>
  <si>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</si>
  <si>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</si>
  <si>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</si>
  <si>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</si>
  <si>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</si>
  <si>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</si>
  <si>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</si>
  <si>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</si>
  <si>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</si>
  <si>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</si>
  <si>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</si>
  <si>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</si>
  <si>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</si>
  <si>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</si>
  <si>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</si>
  <si>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</si>
  <si>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</si>
  <si>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</si>
  <si>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</si>
  <si>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</si>
  <si>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</si>
  <si>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</si>
  <si>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</si>
  <si>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</si>
  <si>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</si>
  <si>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</si>
  <si>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</si>
  <si>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</si>
  <si>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</si>
  <si>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</si>
  <si>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</si>
  <si>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</si>
  <si>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</si>
  <si>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</si>
  <si>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</si>
  <si>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</si>
  <si>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</si>
  <si>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</si>
  <si>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</si>
  <si>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</si>
  <si>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</si>
  <si>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</si>
  <si>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</si>
  <si>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</si>
  <si>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</si>
  <si>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</si>
  <si>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</si>
  <si>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</si>
  <si>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</si>
  <si>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</si>
  <si>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</si>
  <si>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</si>
  <si>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</si>
  <si>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</si>
  <si>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</si>
  <si>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</si>
  <si>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</si>
  <si>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</si>
  <si>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</si>
  <si>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</si>
  <si>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</si>
  <si>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</si>
  <si>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</si>
  <si>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</si>
  <si>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</si>
  <si>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</si>
  <si>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</si>
  <si>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</si>
  <si>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</si>
  <si>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</si>
  <si>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</si>
  <si>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</si>
  <si>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</si>
  <si>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</si>
  <si>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</si>
  <si>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</si>
  <si>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</si>
  <si>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</si>
  <si>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</si>
  <si>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</si>
  <si>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</si>
  <si>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</si>
  <si>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</si>
  <si>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</si>
  <si>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</si>
  <si>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</si>
  <si>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</si>
  <si>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</si>
  <si>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</si>
  <si>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</si>
  <si>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</si>
  <si>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</si>
  <si>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</si>
  <si>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</si>
  <si>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</si>
  <si>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</si>
  <si>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</si>
  <si>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</si>
  <si>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</si>
  <si>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</si>
  <si>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</si>
  <si>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</si>
  <si>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</si>
  <si>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</si>
  <si>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</si>
  <si>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</si>
  <si>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</si>
  <si>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</si>
  <si>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</si>
  <si>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</si>
  <si>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</si>
  <si>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</si>
  <si>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</si>
  <si>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</si>
  <si>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</si>
  <si>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</si>
  <si>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</si>
  <si>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</si>
  <si>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</si>
  <si>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</si>
  <si>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</si>
  <si>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</si>
  <si>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</si>
  <si>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</si>
  <si>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</si>
  <si>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</si>
  <si>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</si>
  <si>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</si>
  <si>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</si>
  <si>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</si>
  <si>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</si>
  <si>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</si>
  <si>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</si>
  <si>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</si>
  <si>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</si>
  <si>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</si>
  <si>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</si>
  <si>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</si>
  <si>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</si>
  <si>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</si>
  <si>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</si>
  <si>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</si>
  <si>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</si>
  <si>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</si>
  <si>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</si>
  <si>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</si>
  <si>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</si>
  <si>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</si>
  <si>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</si>
  <si>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</si>
  <si>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</si>
  <si>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</si>
  <si>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</si>
  <si>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</si>
  <si>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</si>
  <si>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</si>
  <si>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</si>
  <si>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</si>
  <si>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</si>
  <si>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</si>
  <si>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</si>
  <si>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</si>
  <si>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</si>
  <si>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</si>
  <si>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</si>
  <si>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</si>
  <si>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</si>
  <si>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</si>
  <si>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</si>
  <si>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</si>
  <si>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</si>
  <si>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</si>
  <si>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</si>
  <si>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</si>
  <si>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</si>
  <si>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</si>
  <si>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</si>
  <si>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</si>
  <si>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</si>
  <si>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</si>
  <si>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</si>
  <si>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</si>
  <si>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</si>
  <si>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</si>
  <si>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</si>
  <si>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</si>
  <si>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</si>
  <si>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</si>
  <si>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</si>
  <si>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</si>
  <si>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</si>
  <si>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</si>
  <si>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</si>
  <si>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</si>
  <si>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</si>
  <si>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</si>
  <si>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</si>
  <si>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</si>
  <si>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</si>
  <si>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</si>
  <si>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</si>
  <si>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</si>
  <si>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</si>
  <si>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</si>
  <si>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</si>
  <si>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</si>
  <si>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</si>
  <si>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</si>
  <si>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</si>
  <si>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</si>
  <si>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</si>
  <si>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</si>
  <si>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</si>
  <si>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</si>
  <si>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</si>
  <si>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</si>
  <si>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</si>
  <si>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</si>
  <si>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</si>
  <si>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</si>
  <si>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</si>
  <si>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</si>
  <si>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</si>
  <si>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</si>
  <si>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</si>
  <si>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</si>
  <si>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</si>
  <si>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</si>
  <si>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</si>
  <si>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</si>
  <si>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</si>
  <si>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</si>
  <si>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</si>
  <si>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</si>
  <si>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</si>
  <si>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</si>
  <si>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Dương Trung Tực</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</si>
  <si>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</si>
  <si>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</si>
  <si>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</si>
  <si>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</si>
  <si>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</si>
  <si>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</si>
  <si>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</si>
  <si>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</si>
  <si>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</si>
  <si>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</si>
  <si>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</si>
  <si>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</si>
  <si>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</si>
  <si>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</si>
  <si>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</si>
  <si>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</si>
  <si>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</si>
  <si>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</si>
  <si>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</si>
  <si>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</si>
  <si>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</si>
  <si>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</si>
  <si>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</si>
  <si>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</si>
  <si>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</si>
  <si>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</si>
  <si>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</si>
  <si>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</si>
  <si>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</si>
  <si>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</si>
  <si>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</si>
  <si>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</si>
  <si>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</si>
  <si>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</si>
  <si>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</si>
  <si>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Nguyễn Minh Kiệt</t>
  </si>
  <si>
    <t>6.1</t>
  </si>
  <si>
    <t>Huyện Tiểu Cần</t>
  </si>
  <si>
    <t>Dương Thanh Long</t>
  </si>
  <si>
    <t>5.4</t>
  </si>
  <si>
    <t>Thạch Chanh Đara</t>
  </si>
  <si>
    <t>Nguyễn Xuân Thành</t>
  </si>
  <si>
    <t>Trần Thị Điệp</t>
  </si>
  <si>
    <t>Huyện Cầu Ngang</t>
  </si>
  <si>
    <t>Lào Thị Hưởng</t>
  </si>
  <si>
    <t>Thạch ĐaRa</t>
  </si>
  <si>
    <t>Trương Thanh Hưng</t>
  </si>
  <si>
    <t>Huyện Duyên Hải</t>
  </si>
  <si>
    <t>Trần Thị Ngọc Hương</t>
  </si>
  <si>
    <t>3.4</t>
  </si>
  <si>
    <t>Huỳnh Hoàng Vũ</t>
  </si>
  <si>
    <t>Ngô Văn Sỹ</t>
  </si>
  <si>
    <t>Trần Vũ Linh</t>
  </si>
  <si>
    <t>Thị Xã Duyên Hải</t>
  </si>
  <si>
    <t>Thạch Phong</t>
  </si>
  <si>
    <t>2.5</t>
  </si>
  <si>
    <t>Phạm Thị Mười</t>
  </si>
  <si>
    <t>2.4</t>
  </si>
  <si>
    <t>Trần Tấn Vinh</t>
  </si>
  <si>
    <t>2.3</t>
  </si>
  <si>
    <t>Trần Văn Tuấn</t>
  </si>
  <si>
    <t>Huỳnh Công Thành</t>
  </si>
  <si>
    <t>Huyện Châu Thành</t>
  </si>
  <si>
    <t>Trần Thị Thu Hiền</t>
  </si>
  <si>
    <t>Hồ Quốc Nhi</t>
  </si>
  <si>
    <t>Nguyễn Thanh Cao</t>
  </si>
  <si>
    <t>Lâm Sô Phone</t>
  </si>
  <si>
    <t>Lâm Văn Thừa</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</si>
  <si>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</si>
  <si>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</si>
  <si>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</si>
  <si>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</si>
  <si>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</si>
  <si>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</si>
  <si>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</si>
  <si>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</si>
  <si>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</si>
  <si>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</si>
  <si>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Nguyễn K.Thanh Dự</t>
  </si>
  <si>
    <t>8,400</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</si>
  <si>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</si>
  <si>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</si>
  <si>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</si>
  <si>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</si>
  <si>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</si>
  <si>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</si>
  <si>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</si>
  <si>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</si>
  <si>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</si>
  <si>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130</t>
  </si>
  <si>
    <t>110,840</t>
  </si>
  <si>
    <t>Tỷ lệ: 
( %) (xong  + đình chỉ)/ Có điều kiện * 100%</t>
  </si>
  <si>
    <t>Tổng cục THADS</t>
  </si>
  <si>
    <t>Ngày nhận báo cáo:……/….…/ 2015</t>
  </si>
  <si>
    <t>Biểu số: 06.1/TK-THA</t>
  </si>
  <si>
    <t>Tỷ lệ: 
( %) (xong  + đình chỉ+Giảm thi hành an)/ Có điều kiện * 100%</t>
  </si>
  <si>
    <t>Cục THADS tỉnh Trà Vinh</t>
  </si>
  <si>
    <t xml:space="preserve">   KẾT QUẢ THI HÀNH ÁN DÂN SỰ TÍNH BẰNG TIỀN</t>
  </si>
  <si>
    <t>Biểu số: 07.1/TK-THA</t>
  </si>
  <si>
    <t>Có điều kiện chuyển kỳ sau</t>
  </si>
  <si>
    <t>Có điều kiện / tổng số phải thi hành</t>
  </si>
  <si>
    <t>121</t>
  </si>
  <si>
    <t>104</t>
  </si>
  <si>
    <t>219</t>
  </si>
  <si>
    <t>158</t>
  </si>
  <si>
    <t>38</t>
  </si>
  <si>
    <t>50</t>
  </si>
  <si>
    <t>1,751,914</t>
  </si>
  <si>
    <t>500</t>
  </si>
  <si>
    <t>4,078,956</t>
  </si>
  <si>
    <t>Trần Văn To</t>
  </si>
  <si>
    <t>42</t>
  </si>
  <si>
    <t>66</t>
  </si>
  <si>
    <t>29</t>
  </si>
  <si>
    <t>19</t>
  </si>
  <si>
    <t>32</t>
  </si>
  <si>
    <t>24</t>
  </si>
  <si>
    <t>89</t>
  </si>
  <si>
    <t>108</t>
  </si>
  <si>
    <t>Cục rút lên thi hành</t>
  </si>
  <si>
    <t>Cuc rút lên để thi hành</t>
  </si>
  <si>
    <r>
      <rPr>
        <sz val="12"/>
        <color indexed="10"/>
        <rFont val="Times New Roman"/>
        <family val="1"/>
      </rPr>
      <t xml:space="preserve">02 </t>
    </r>
    <r>
      <rPr>
        <sz val="12"/>
        <rFont val="Times New Roman"/>
        <family val="1"/>
      </rPr>
      <t xml:space="preserve"> tháng / năm 2017</t>
    </r>
  </si>
  <si>
    <r>
      <rPr>
        <i/>
        <sz val="12"/>
        <color indexed="10"/>
        <rFont val="Times New Roman"/>
        <family val="1"/>
      </rPr>
      <t>Trà Vinh</t>
    </r>
    <r>
      <rPr>
        <i/>
        <sz val="12"/>
        <rFont val="Times New Roman"/>
        <family val="1"/>
      </rPr>
      <t xml:space="preserve">, ngày </t>
    </r>
    <r>
      <rPr>
        <i/>
        <sz val="12"/>
        <color indexed="10"/>
        <rFont val="Times New Roman"/>
        <family val="1"/>
      </rPr>
      <t>01</t>
    </r>
    <r>
      <rPr>
        <i/>
        <sz val="12"/>
        <rFont val="Times New Roman"/>
        <family val="1"/>
      </rPr>
      <t xml:space="preserve"> tháng </t>
    </r>
    <r>
      <rPr>
        <i/>
        <sz val="12"/>
        <color indexed="10"/>
        <rFont val="Times New Roman"/>
        <family val="1"/>
      </rPr>
      <t>12</t>
    </r>
    <r>
      <rPr>
        <i/>
        <sz val="12"/>
        <rFont val="Times New Roman"/>
        <family val="1"/>
      </rPr>
      <t xml:space="preserve"> năm 2016</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</si>
</sst>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s>
  <fonts count="161">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i/>
      <sz val="8"/>
      <name val="Times New Roman"/>
      <family val="1"/>
    </font>
    <font>
      <b/>
      <sz val="11"/>
      <name val=".VnTime"/>
      <family val="2"/>
    </font>
    <font>
      <sz val="11"/>
      <name val=".VnTime"/>
      <family val="2"/>
    </font>
    <font>
      <i/>
      <sz val="12"/>
      <color indexed="10"/>
      <name val="Times New Roman"/>
      <family val="1"/>
    </font>
    <font>
      <b/>
      <sz val="5"/>
      <name val="Times New Roman"/>
      <family val="1"/>
    </font>
    <font>
      <sz val="5"/>
      <name val="Times New Roman"/>
      <family val="1"/>
    </font>
    <font>
      <sz val="6"/>
      <name val="Times New Roman"/>
      <family val="1"/>
    </font>
    <font>
      <sz val="10"/>
      <name val="Times"/>
      <family val="1"/>
    </font>
    <font>
      <sz val="8"/>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10"/>
      <name val="Times New Roman"/>
      <family val="1"/>
    </font>
    <font>
      <i/>
      <sz val="9"/>
      <color indexed="10"/>
      <name val="Times New Roman"/>
      <family val="1"/>
    </font>
    <font>
      <i/>
      <sz val="7"/>
      <color indexed="10"/>
      <name val="Times New Roman"/>
      <family val="1"/>
    </font>
    <font>
      <sz val="10"/>
      <color indexed="8"/>
      <name val="Times"/>
      <family val="1"/>
    </font>
    <font>
      <b/>
      <i/>
      <sz val="7"/>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0"/>
      <color rgb="FFFF0000"/>
      <name val="Times New Roman"/>
      <family val="1"/>
    </font>
    <font>
      <b/>
      <sz val="11"/>
      <color rgb="FFFF0000"/>
      <name val="Times New Roman"/>
      <family val="1"/>
    </font>
    <font>
      <sz val="8"/>
      <color rgb="FFFF0000"/>
      <name val="Times New Roman"/>
      <family val="1"/>
    </font>
    <font>
      <b/>
      <sz val="9"/>
      <color rgb="FFFF0000"/>
      <name val="Times New Roman"/>
      <family val="1"/>
    </font>
    <font>
      <i/>
      <sz val="9"/>
      <color rgb="FFFF0000"/>
      <name val="Times New Roman"/>
      <family val="1"/>
    </font>
    <font>
      <i/>
      <sz val="7"/>
      <color rgb="FFFF0000"/>
      <name val="Times New Roman"/>
      <family val="1"/>
    </font>
    <font>
      <sz val="10"/>
      <color theme="1"/>
      <name val="Times"/>
      <family val="1"/>
    </font>
    <font>
      <sz val="11"/>
      <color rgb="FFFF0000"/>
      <name val="Times New Roman"/>
      <family val="1"/>
    </font>
    <font>
      <b/>
      <i/>
      <sz val="9"/>
      <color rgb="FFFF0000"/>
      <name val="Times New Roman"/>
      <family val="1"/>
    </font>
    <font>
      <b/>
      <i/>
      <sz val="7"/>
      <color rgb="FFFF0000"/>
      <name val="Times New Roman"/>
      <family val="1"/>
    </font>
    <font>
      <b/>
      <sz val="8"/>
      <name val="Times New Roman"/>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32"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32"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32"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2"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32"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32"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2"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32"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32"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2"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2"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33"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33"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3"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3"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3"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3"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33"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33"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33"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33"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3"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3"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34"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5" fillId="37" borderId="1" applyNumberFormat="0" applyAlignment="0" applyProtection="0"/>
    <xf numFmtId="0" fontId="38" fillId="38" borderId="2" applyNumberFormat="0" applyAlignment="0" applyProtection="0"/>
    <xf numFmtId="0" fontId="38" fillId="38" borderId="2" applyNumberFormat="0" applyAlignment="0" applyProtection="0"/>
    <xf numFmtId="0" fontId="136"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8"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9"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40"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41"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4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42" fillId="42" borderId="1" applyNumberFormat="0" applyAlignment="0" applyProtection="0"/>
    <xf numFmtId="0" fontId="45" fillId="9" borderId="2" applyNumberFormat="0" applyAlignment="0" applyProtection="0"/>
    <xf numFmtId="0" fontId="45" fillId="9" borderId="2" applyNumberFormat="0" applyAlignment="0" applyProtection="0"/>
    <xf numFmtId="0" fontId="143"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44"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45"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0" fontId="14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7"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71">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1" applyNumberFormat="1" applyFont="1" applyFill="1" applyBorder="1" applyAlignment="1" applyProtection="1">
      <alignment horizontal="center" vertical="center"/>
      <protection/>
    </xf>
    <xf numFmtId="49" fontId="0" fillId="47" borderId="0" xfId="143" applyNumberFormat="1" applyFont="1" applyFill="1" applyBorder="1" applyAlignment="1">
      <alignment horizontal="left"/>
      <protection/>
    </xf>
    <xf numFmtId="49" fontId="0" fillId="0" borderId="0" xfId="143" applyNumberFormat="1" applyFont="1">
      <alignment/>
      <protection/>
    </xf>
    <xf numFmtId="49" fontId="0" fillId="0" borderId="0" xfId="143" applyNumberFormat="1">
      <alignment/>
      <protection/>
    </xf>
    <xf numFmtId="49" fontId="0" fillId="0" borderId="0" xfId="143" applyNumberFormat="1" applyFont="1" applyAlignment="1">
      <alignment horizontal="left"/>
      <protection/>
    </xf>
    <xf numFmtId="49" fontId="0" fillId="0" borderId="0" xfId="143" applyNumberFormat="1" applyFont="1" applyBorder="1" applyAlignment="1">
      <alignment wrapText="1"/>
      <protection/>
    </xf>
    <xf numFmtId="49" fontId="15" fillId="0" borderId="0" xfId="143" applyNumberFormat="1" applyFont="1" applyAlignment="1">
      <alignment/>
      <protection/>
    </xf>
    <xf numFmtId="49" fontId="0" fillId="0" borderId="0" xfId="143" applyNumberFormat="1" applyFont="1" applyBorder="1" applyAlignment="1">
      <alignment horizontal="left" wrapText="1"/>
      <protection/>
    </xf>
    <xf numFmtId="49" fontId="18" fillId="0" borderId="0" xfId="143" applyNumberFormat="1" applyFont="1" applyAlignment="1">
      <alignment horizontal="left"/>
      <protection/>
    </xf>
    <xf numFmtId="49" fontId="0" fillId="0" borderId="0" xfId="143" applyNumberFormat="1" applyFont="1" applyFill="1" applyAlignment="1">
      <alignment/>
      <protection/>
    </xf>
    <xf numFmtId="49" fontId="0" fillId="0" borderId="0" xfId="143" applyNumberFormat="1" applyFont="1" applyFill="1" applyAlignment="1">
      <alignment horizontal="center"/>
      <protection/>
    </xf>
    <xf numFmtId="49" fontId="0" fillId="0" borderId="0" xfId="143" applyNumberFormat="1" applyFont="1" applyAlignment="1">
      <alignment horizontal="center"/>
      <protection/>
    </xf>
    <xf numFmtId="49" fontId="0" fillId="0" borderId="0" xfId="143" applyNumberFormat="1" applyFont="1" applyFill="1">
      <alignment/>
      <protection/>
    </xf>
    <xf numFmtId="49" fontId="13" fillId="47" borderId="22" xfId="143" applyNumberFormat="1" applyFont="1" applyFill="1" applyBorder="1" applyAlignment="1">
      <alignment/>
      <protection/>
    </xf>
    <xf numFmtId="49" fontId="7" fillId="0" borderId="20" xfId="143" applyNumberFormat="1" applyFont="1" applyFill="1" applyBorder="1" applyAlignment="1">
      <alignment horizontal="center" vertical="center" wrapText="1"/>
      <protection/>
    </xf>
    <xf numFmtId="49" fontId="52" fillId="48" borderId="20" xfId="143" applyNumberFormat="1" applyFont="1" applyFill="1" applyBorder="1" applyAlignment="1">
      <alignment horizontal="center"/>
      <protection/>
    </xf>
    <xf numFmtId="49" fontId="7" fillId="0" borderId="21" xfId="143" applyNumberFormat="1" applyFont="1" applyFill="1" applyBorder="1" applyAlignment="1">
      <alignment horizontal="center" vertical="center" wrapText="1"/>
      <protection/>
    </xf>
    <xf numFmtId="49" fontId="7" fillId="0" borderId="20" xfId="143" applyNumberFormat="1" applyFont="1" applyBorder="1" applyAlignment="1">
      <alignment horizontal="center" vertical="center" wrapText="1"/>
      <protection/>
    </xf>
    <xf numFmtId="49" fontId="53" fillId="0" borderId="20" xfId="143" applyNumberFormat="1" applyFont="1" applyFill="1" applyBorder="1" applyAlignment="1">
      <alignment horizontal="center" vertical="center" wrapText="1"/>
      <protection/>
    </xf>
    <xf numFmtId="49" fontId="18" fillId="0" borderId="20" xfId="143" applyNumberFormat="1" applyFont="1" applyBorder="1" applyAlignment="1">
      <alignment horizontal="center" vertical="center"/>
      <protection/>
    </xf>
    <xf numFmtId="3" fontId="0" fillId="0" borderId="20" xfId="143" applyNumberFormat="1" applyFont="1" applyBorder="1" applyAlignment="1">
      <alignment horizontal="center" vertical="center"/>
      <protection/>
    </xf>
    <xf numFmtId="3" fontId="0" fillId="0" borderId="20" xfId="143" applyNumberFormat="1" applyFont="1" applyBorder="1" applyAlignment="1">
      <alignment vertical="center"/>
      <protection/>
    </xf>
    <xf numFmtId="49" fontId="0" fillId="0" borderId="0" xfId="143" applyNumberFormat="1" applyAlignment="1">
      <alignment vertical="center"/>
      <protection/>
    </xf>
    <xf numFmtId="3" fontId="51" fillId="3" borderId="20" xfId="143" applyNumberFormat="1" applyFont="1" applyFill="1" applyBorder="1" applyAlignment="1">
      <alignment vertical="center"/>
      <protection/>
    </xf>
    <xf numFmtId="3" fontId="56" fillId="3" borderId="20" xfId="143" applyNumberFormat="1" applyFont="1" applyFill="1" applyBorder="1" applyAlignment="1">
      <alignment vertical="center"/>
      <protection/>
    </xf>
    <xf numFmtId="49" fontId="57" fillId="0" borderId="20" xfId="143" applyNumberFormat="1" applyFont="1" applyBorder="1" applyAlignment="1">
      <alignment horizontal="center" vertical="center"/>
      <protection/>
    </xf>
    <xf numFmtId="3" fontId="25" fillId="44" borderId="20" xfId="143" applyNumberFormat="1" applyFont="1" applyFill="1" applyBorder="1" applyAlignment="1">
      <alignment vertical="center"/>
      <protection/>
    </xf>
    <xf numFmtId="3" fontId="3" fillId="48" borderId="20" xfId="143" applyNumberFormat="1" applyFont="1" applyFill="1" applyBorder="1" applyAlignment="1">
      <alignment horizontal="center" vertical="center"/>
      <protection/>
    </xf>
    <xf numFmtId="3" fontId="3" fillId="48" borderId="20" xfId="143" applyNumberFormat="1" applyFont="1" applyFill="1" applyBorder="1" applyAlignment="1">
      <alignment vertical="center"/>
      <protection/>
    </xf>
    <xf numFmtId="49" fontId="7" fillId="44" borderId="20" xfId="143" applyNumberFormat="1" applyFont="1" applyFill="1" applyBorder="1" applyAlignment="1">
      <alignment horizontal="center" vertical="center"/>
      <protection/>
    </xf>
    <xf numFmtId="49" fontId="7" fillId="44" borderId="20" xfId="143" applyNumberFormat="1" applyFont="1" applyFill="1" applyBorder="1" applyAlignment="1">
      <alignment horizontal="left" vertical="center"/>
      <protection/>
    </xf>
    <xf numFmtId="3" fontId="28" fillId="48" borderId="20" xfId="143" applyNumberFormat="1" applyFont="1" applyFill="1" applyBorder="1" applyAlignment="1">
      <alignment vertical="center"/>
      <protection/>
    </xf>
    <xf numFmtId="3" fontId="28" fillId="0" borderId="20" xfId="143" applyNumberFormat="1" applyFont="1" applyFill="1" applyBorder="1" applyAlignment="1">
      <alignment vertical="center"/>
      <protection/>
    </xf>
    <xf numFmtId="9" fontId="0" fillId="0" borderId="0" xfId="152" applyFont="1" applyAlignment="1">
      <alignment vertical="center"/>
    </xf>
    <xf numFmtId="49" fontId="7" fillId="44" borderId="23" xfId="143" applyNumberFormat="1" applyFont="1" applyFill="1" applyBorder="1" applyAlignment="1">
      <alignment horizontal="center" vertical="center"/>
      <protection/>
    </xf>
    <xf numFmtId="3" fontId="25" fillId="44" borderId="20" xfId="143" applyNumberFormat="1" applyFont="1" applyFill="1" applyBorder="1" applyAlignment="1">
      <alignment vertical="center"/>
      <protection/>
    </xf>
    <xf numFmtId="49" fontId="4" fillId="0" borderId="20" xfId="143" applyNumberFormat="1" applyFont="1" applyBorder="1" applyAlignment="1">
      <alignment horizontal="center" vertical="center"/>
      <protection/>
    </xf>
    <xf numFmtId="49" fontId="4" fillId="47" borderId="20" xfId="143" applyNumberFormat="1" applyFont="1" applyFill="1" applyBorder="1" applyAlignment="1">
      <alignment horizontal="left" vertical="center"/>
      <protection/>
    </xf>
    <xf numFmtId="49" fontId="5" fillId="47" borderId="20" xfId="143" applyNumberFormat="1" applyFont="1" applyFill="1" applyBorder="1" applyAlignment="1">
      <alignment horizontal="left" vertical="center"/>
      <protection/>
    </xf>
    <xf numFmtId="3" fontId="28" fillId="0" borderId="20" xfId="144" applyNumberFormat="1" applyFont="1" applyFill="1" applyBorder="1" applyAlignment="1">
      <alignment vertical="center"/>
      <protection/>
    </xf>
    <xf numFmtId="49" fontId="20" fillId="0" borderId="0" xfId="143" applyNumberFormat="1" applyFont="1" applyAlignment="1">
      <alignment vertical="center"/>
      <protection/>
    </xf>
    <xf numFmtId="49" fontId="4" fillId="47" borderId="20" xfId="143" applyNumberFormat="1" applyFont="1" applyFill="1" applyBorder="1" applyAlignment="1">
      <alignment horizontal="left" vertical="center"/>
      <protection/>
    </xf>
    <xf numFmtId="3" fontId="28" fillId="0" borderId="20" xfId="144" applyNumberFormat="1" applyFont="1" applyFill="1" applyBorder="1" applyAlignment="1">
      <alignment horizontal="center" vertical="center"/>
      <protection/>
    </xf>
    <xf numFmtId="49" fontId="0" fillId="0" borderId="0" xfId="143" applyNumberFormat="1" applyFill="1">
      <alignment/>
      <protection/>
    </xf>
    <xf numFmtId="49" fontId="20" fillId="0" borderId="0" xfId="143" applyNumberFormat="1" applyFont="1">
      <alignment/>
      <protection/>
    </xf>
    <xf numFmtId="49" fontId="28" fillId="0" borderId="0" xfId="143" applyNumberFormat="1" applyFont="1" applyFill="1" applyBorder="1" applyAlignment="1">
      <alignment horizontal="center" wrapText="1"/>
      <protection/>
    </xf>
    <xf numFmtId="49" fontId="58" fillId="0" borderId="0" xfId="143" applyNumberFormat="1" applyFont="1" applyBorder="1">
      <alignment/>
      <protection/>
    </xf>
    <xf numFmtId="49" fontId="59" fillId="0" borderId="0" xfId="143" applyNumberFormat="1" applyFont="1">
      <alignment/>
      <protection/>
    </xf>
    <xf numFmtId="49" fontId="1" fillId="0" borderId="0" xfId="143" applyNumberFormat="1" applyFont="1">
      <alignment/>
      <protection/>
    </xf>
    <xf numFmtId="9" fontId="1" fillId="0" borderId="0" xfId="152" applyFont="1" applyAlignment="1">
      <alignment/>
    </xf>
    <xf numFmtId="49" fontId="60" fillId="0" borderId="0" xfId="143" applyNumberFormat="1" applyFont="1" applyBorder="1">
      <alignment/>
      <protection/>
    </xf>
    <xf numFmtId="49" fontId="25" fillId="0" borderId="0" xfId="143" applyNumberFormat="1" applyFont="1" applyBorder="1" applyAlignment="1">
      <alignment horizontal="center" wrapText="1"/>
      <protection/>
    </xf>
    <xf numFmtId="49" fontId="25" fillId="0" borderId="0" xfId="143" applyNumberFormat="1" applyFont="1" applyFill="1" applyBorder="1" applyAlignment="1">
      <alignment horizontal="center" wrapText="1"/>
      <protection/>
    </xf>
    <xf numFmtId="49" fontId="61" fillId="0" borderId="0" xfId="143" applyNumberFormat="1" applyFont="1" applyBorder="1">
      <alignment/>
      <protection/>
    </xf>
    <xf numFmtId="49" fontId="62" fillId="0" borderId="0" xfId="143" applyNumberFormat="1" applyFont="1" applyBorder="1" applyAlignment="1">
      <alignment wrapText="1"/>
      <protection/>
    </xf>
    <xf numFmtId="49" fontId="2" fillId="0" borderId="0" xfId="143" applyNumberFormat="1" applyFont="1" applyBorder="1">
      <alignment/>
      <protection/>
    </xf>
    <xf numFmtId="49" fontId="39" fillId="0" borderId="0" xfId="143" applyNumberFormat="1" applyFont="1" applyBorder="1" applyAlignment="1">
      <alignment horizontal="center" wrapText="1"/>
      <protection/>
    </xf>
    <xf numFmtId="49" fontId="39" fillId="0" borderId="0" xfId="143" applyNumberFormat="1" applyFont="1" applyFill="1" applyBorder="1" applyAlignment="1">
      <alignment horizontal="center" wrapText="1"/>
      <protection/>
    </xf>
    <xf numFmtId="49" fontId="63" fillId="0" borderId="0" xfId="143" applyNumberFormat="1" applyFont="1" applyBorder="1">
      <alignment/>
      <protection/>
    </xf>
    <xf numFmtId="49" fontId="28" fillId="0" borderId="0" xfId="143" applyNumberFormat="1" applyFont="1">
      <alignment/>
      <protection/>
    </xf>
    <xf numFmtId="49" fontId="28" fillId="0" borderId="0" xfId="143" applyNumberFormat="1" applyFont="1" applyFill="1">
      <alignment/>
      <protection/>
    </xf>
    <xf numFmtId="49" fontId="28" fillId="47" borderId="0" xfId="143" applyNumberFormat="1" applyFont="1" applyFill="1">
      <alignment/>
      <protection/>
    </xf>
    <xf numFmtId="0" fontId="25" fillId="0" borderId="0" xfId="143" applyFont="1" applyAlignment="1">
      <alignment horizontal="center"/>
      <protection/>
    </xf>
    <xf numFmtId="49" fontId="25" fillId="47" borderId="0" xfId="143" applyNumberFormat="1" applyFont="1" applyFill="1" applyAlignment="1">
      <alignment horizontal="center"/>
      <protection/>
    </xf>
    <xf numFmtId="0" fontId="65" fillId="0" borderId="0" xfId="143" applyFont="1" applyAlignment="1">
      <alignment/>
      <protection/>
    </xf>
    <xf numFmtId="0" fontId="3" fillId="0" borderId="0" xfId="143" applyFont="1" applyAlignment="1">
      <alignment/>
      <protection/>
    </xf>
    <xf numFmtId="49" fontId="30" fillId="0" borderId="0" xfId="143" applyNumberFormat="1" applyFont="1">
      <alignment/>
      <protection/>
    </xf>
    <xf numFmtId="3" fontId="0" fillId="0" borderId="0" xfId="143" applyNumberFormat="1" applyFont="1" applyFill="1">
      <alignment/>
      <protection/>
    </xf>
    <xf numFmtId="49" fontId="3" fillId="0" borderId="0" xfId="143" applyNumberFormat="1" applyFont="1" applyFill="1" applyAlignment="1">
      <alignment wrapText="1"/>
      <protection/>
    </xf>
    <xf numFmtId="49" fontId="0" fillId="0" borderId="0" xfId="143" applyNumberFormat="1" applyFont="1" applyFill="1" applyBorder="1" applyAlignment="1">
      <alignment/>
      <protection/>
    </xf>
    <xf numFmtId="49" fontId="0" fillId="0" borderId="0" xfId="143" applyNumberFormat="1" applyFont="1" applyFill="1" applyBorder="1">
      <alignment/>
      <protection/>
    </xf>
    <xf numFmtId="49" fontId="19" fillId="0" borderId="22" xfId="143" applyNumberFormat="1" applyFont="1" applyFill="1" applyBorder="1" applyAlignment="1">
      <alignment/>
      <protection/>
    </xf>
    <xf numFmtId="49" fontId="5" fillId="0" borderId="22" xfId="143" applyNumberFormat="1" applyFont="1" applyFill="1" applyBorder="1" applyAlignment="1">
      <alignment horizontal="center"/>
      <protection/>
    </xf>
    <xf numFmtId="49" fontId="0" fillId="0" borderId="0" xfId="143" applyNumberFormat="1" applyFill="1" applyBorder="1">
      <alignment/>
      <protection/>
    </xf>
    <xf numFmtId="49" fontId="6" fillId="0" borderId="20" xfId="143" applyNumberFormat="1" applyFont="1" applyFill="1" applyBorder="1" applyAlignment="1">
      <alignment horizontal="center" vertical="center" wrapText="1"/>
      <protection/>
    </xf>
    <xf numFmtId="49" fontId="19" fillId="0" borderId="20" xfId="143" applyNumberFormat="1" applyFont="1" applyFill="1" applyBorder="1" applyAlignment="1">
      <alignment horizontal="center" vertical="center" wrapText="1"/>
      <protection/>
    </xf>
    <xf numFmtId="3" fontId="29" fillId="3" borderId="20" xfId="143" applyNumberFormat="1" applyFont="1" applyFill="1" applyBorder="1" applyAlignment="1">
      <alignment horizontal="center" vertical="center" wrapText="1"/>
      <protection/>
    </xf>
    <xf numFmtId="3" fontId="68" fillId="3" borderId="20" xfId="143" applyNumberFormat="1" applyFont="1" applyFill="1" applyBorder="1" applyAlignment="1">
      <alignment horizontal="center" vertical="center" wrapText="1"/>
      <protection/>
    </xf>
    <xf numFmtId="3" fontId="6" fillId="44" borderId="20" xfId="143" applyNumberFormat="1" applyFont="1" applyFill="1" applyBorder="1" applyAlignment="1">
      <alignment horizontal="center" vertical="center" wrapText="1"/>
      <protection/>
    </xf>
    <xf numFmtId="49" fontId="7" fillId="0" borderId="20" xfId="143" applyNumberFormat="1" applyFont="1" applyFill="1" applyBorder="1" applyAlignment="1">
      <alignment horizontal="center"/>
      <protection/>
    </xf>
    <xf numFmtId="49" fontId="7" fillId="0" borderId="20" xfId="143" applyNumberFormat="1" applyFont="1" applyFill="1" applyBorder="1" applyAlignment="1">
      <alignment horizontal="left"/>
      <protection/>
    </xf>
    <xf numFmtId="3" fontId="5" fillId="44" borderId="20" xfId="143" applyNumberFormat="1" applyFont="1" applyFill="1" applyBorder="1" applyAlignment="1">
      <alignment horizontal="center" vertical="center" wrapText="1"/>
      <protection/>
    </xf>
    <xf numFmtId="3" fontId="5" fillId="0" borderId="20" xfId="143" applyNumberFormat="1" applyFont="1" applyFill="1" applyBorder="1" applyAlignment="1">
      <alignment horizontal="center" vertical="center" wrapText="1"/>
      <protection/>
    </xf>
    <xf numFmtId="9" fontId="0" fillId="0" borderId="0" xfId="152" applyFont="1" applyFill="1" applyAlignment="1">
      <alignment/>
    </xf>
    <xf numFmtId="49" fontId="7" fillId="44" borderId="23" xfId="143" applyNumberFormat="1" applyFont="1" applyFill="1" applyBorder="1" applyAlignment="1">
      <alignment horizontal="center"/>
      <protection/>
    </xf>
    <xf numFmtId="49" fontId="7" fillId="44" borderId="20" xfId="143" applyNumberFormat="1" applyFont="1" applyFill="1" applyBorder="1" applyAlignment="1">
      <alignment horizontal="left"/>
      <protection/>
    </xf>
    <xf numFmtId="49" fontId="4" fillId="0" borderId="23" xfId="143" applyNumberFormat="1" applyFont="1" applyFill="1" applyBorder="1" applyAlignment="1">
      <alignment horizontal="center"/>
      <protection/>
    </xf>
    <xf numFmtId="49" fontId="4" fillId="47" borderId="20" xfId="143" applyNumberFormat="1" applyFont="1" applyFill="1" applyBorder="1" applyAlignment="1">
      <alignment horizontal="left"/>
      <protection/>
    </xf>
    <xf numFmtId="3" fontId="5" fillId="47" borderId="20" xfId="143" applyNumberFormat="1" applyFont="1" applyFill="1" applyBorder="1" applyAlignment="1">
      <alignment horizontal="center" vertical="center" wrapText="1"/>
      <protection/>
    </xf>
    <xf numFmtId="49" fontId="5" fillId="47" borderId="20" xfId="143" applyNumberFormat="1" applyFont="1" applyFill="1" applyBorder="1" applyAlignment="1">
      <alignment horizontal="left"/>
      <protection/>
    </xf>
    <xf numFmtId="49" fontId="6" fillId="0" borderId="19" xfId="143" applyNumberFormat="1" applyFont="1" applyFill="1" applyBorder="1" applyAlignment="1">
      <alignment horizontal="center"/>
      <protection/>
    </xf>
    <xf numFmtId="49" fontId="6" fillId="0" borderId="19" xfId="143" applyNumberFormat="1" applyFont="1" applyFill="1" applyBorder="1" applyAlignment="1">
      <alignment horizontal="left"/>
      <protection/>
    </xf>
    <xf numFmtId="3" fontId="5" fillId="0" borderId="19" xfId="143" applyNumberFormat="1" applyFont="1" applyFill="1" applyBorder="1" applyAlignment="1">
      <alignment horizontal="center" vertical="center" wrapText="1"/>
      <protection/>
    </xf>
    <xf numFmtId="49" fontId="15" fillId="0" borderId="0" xfId="143" applyNumberFormat="1" applyFont="1" applyFill="1" applyBorder="1" applyAlignment="1">
      <alignment vertical="center" wrapText="1"/>
      <protection/>
    </xf>
    <xf numFmtId="49" fontId="69" fillId="0" borderId="0" xfId="143" applyNumberFormat="1" applyFont="1" applyFill="1">
      <alignment/>
      <protection/>
    </xf>
    <xf numFmtId="49" fontId="4" fillId="0" borderId="0" xfId="143" applyNumberFormat="1" applyFont="1" applyFill="1">
      <alignment/>
      <protection/>
    </xf>
    <xf numFmtId="49" fontId="0" fillId="47" borderId="0" xfId="143" applyNumberFormat="1" applyFont="1" applyFill="1">
      <alignment/>
      <protection/>
    </xf>
    <xf numFmtId="49" fontId="3" fillId="47" borderId="0" xfId="143" applyNumberFormat="1" applyFont="1" applyFill="1" applyAlignment="1">
      <alignment horizontal="center"/>
      <protection/>
    </xf>
    <xf numFmtId="49" fontId="22" fillId="0" borderId="0" xfId="143" applyNumberFormat="1" applyFont="1" applyFill="1">
      <alignment/>
      <protection/>
    </xf>
    <xf numFmtId="49" fontId="3" fillId="0" borderId="0" xfId="143" applyNumberFormat="1" applyFont="1" applyFill="1">
      <alignment/>
      <protection/>
    </xf>
    <xf numFmtId="49" fontId="13" fillId="0" borderId="0" xfId="143" applyNumberFormat="1" applyFont="1" applyFill="1" applyAlignment="1">
      <alignment/>
      <protection/>
    </xf>
    <xf numFmtId="49" fontId="13" fillId="0" borderId="0" xfId="143" applyNumberFormat="1" applyFont="1" applyFill="1" applyAlignment="1">
      <alignment wrapText="1"/>
      <protection/>
    </xf>
    <xf numFmtId="49" fontId="13" fillId="0" borderId="0" xfId="143" applyNumberFormat="1" applyFont="1" applyFill="1" applyAlignment="1">
      <alignment horizontal="left" wrapText="1"/>
      <protection/>
    </xf>
    <xf numFmtId="49" fontId="0" fillId="0" borderId="0" xfId="143" applyNumberFormat="1" applyAlignment="1">
      <alignment horizontal="left"/>
      <protection/>
    </xf>
    <xf numFmtId="49" fontId="0" fillId="0" borderId="0" xfId="143" applyNumberFormat="1" applyFont="1" applyBorder="1" applyAlignment="1">
      <alignment horizontal="left"/>
      <protection/>
    </xf>
    <xf numFmtId="49" fontId="13" fillId="0" borderId="20" xfId="143" applyNumberFormat="1" applyFont="1" applyBorder="1" applyAlignment="1">
      <alignment horizontal="center"/>
      <protection/>
    </xf>
    <xf numFmtId="3" fontId="4" fillId="4" borderId="20" xfId="144" applyNumberFormat="1" applyFont="1" applyFill="1" applyBorder="1" applyAlignment="1">
      <alignment horizontal="center" vertical="center"/>
      <protection/>
    </xf>
    <xf numFmtId="3" fontId="31" fillId="47" borderId="20" xfId="143" applyNumberFormat="1" applyFont="1" applyFill="1" applyBorder="1" applyAlignment="1">
      <alignment horizontal="center" vertical="center"/>
      <protection/>
    </xf>
    <xf numFmtId="3" fontId="17" fillId="3" borderId="20" xfId="143" applyNumberFormat="1" applyFont="1" applyFill="1" applyBorder="1" applyAlignment="1">
      <alignment horizontal="center" vertical="center"/>
      <protection/>
    </xf>
    <xf numFmtId="3" fontId="33" fillId="3" borderId="20" xfId="143" applyNumberFormat="1" applyFont="1" applyFill="1" applyBorder="1" applyAlignment="1">
      <alignment horizontal="center" vertical="center"/>
      <protection/>
    </xf>
    <xf numFmtId="3" fontId="7" fillId="44" borderId="20" xfId="143" applyNumberFormat="1" applyFont="1" applyFill="1" applyBorder="1" applyAlignment="1">
      <alignment horizontal="center" vertical="center"/>
      <protection/>
    </xf>
    <xf numFmtId="3" fontId="7" fillId="44" borderId="20" xfId="143" applyNumberFormat="1" applyFont="1" applyFill="1" applyBorder="1" applyAlignment="1">
      <alignment horizontal="center" vertical="center"/>
      <protection/>
    </xf>
    <xf numFmtId="3" fontId="7" fillId="4" borderId="20" xfId="144" applyNumberFormat="1" applyFont="1" applyFill="1" applyBorder="1" applyAlignment="1">
      <alignment horizontal="center" vertical="center"/>
      <protection/>
    </xf>
    <xf numFmtId="49" fontId="7" fillId="0" borderId="20" xfId="143" applyNumberFormat="1" applyFont="1" applyBorder="1" applyAlignment="1">
      <alignment horizontal="center" vertical="center"/>
      <protection/>
    </xf>
    <xf numFmtId="49" fontId="7" fillId="47" borderId="20" xfId="143" applyNumberFormat="1" applyFont="1" applyFill="1" applyBorder="1" applyAlignment="1">
      <alignment horizontal="left" vertical="center"/>
      <protection/>
    </xf>
    <xf numFmtId="3" fontId="4" fillId="47" borderId="20" xfId="143" applyNumberFormat="1" applyFont="1" applyFill="1" applyBorder="1" applyAlignment="1">
      <alignment horizontal="center" vertical="center"/>
      <protection/>
    </xf>
    <xf numFmtId="3" fontId="4" fillId="44" borderId="20" xfId="143" applyNumberFormat="1" applyFont="1" applyFill="1" applyBorder="1" applyAlignment="1">
      <alignment horizontal="center" vertical="center"/>
      <protection/>
    </xf>
    <xf numFmtId="49" fontId="4" fillId="0" borderId="23" xfId="143" applyNumberFormat="1" applyFont="1" applyBorder="1" applyAlignment="1">
      <alignment horizontal="center" vertical="center"/>
      <protection/>
    </xf>
    <xf numFmtId="49" fontId="0" fillId="0" borderId="0" xfId="143" applyNumberFormat="1" applyFont="1" applyAlignment="1">
      <alignment vertical="center"/>
      <protection/>
    </xf>
    <xf numFmtId="3" fontId="4" fillId="0" borderId="20" xfId="143" applyNumberFormat="1" applyFont="1" applyFill="1" applyBorder="1" applyAlignment="1">
      <alignment horizontal="center" vertical="center"/>
      <protection/>
    </xf>
    <xf numFmtId="3" fontId="4" fillId="47" borderId="20" xfId="144" applyNumberFormat="1" applyFont="1" applyFill="1" applyBorder="1" applyAlignment="1">
      <alignment horizontal="center" vertical="center"/>
      <protection/>
    </xf>
    <xf numFmtId="49" fontId="4" fillId="47" borderId="23" xfId="143" applyNumberFormat="1" applyFont="1" applyFill="1" applyBorder="1" applyAlignment="1">
      <alignment horizontal="center" vertical="center"/>
      <protection/>
    </xf>
    <xf numFmtId="9" fontId="20" fillId="0" borderId="0" xfId="152" applyFont="1" applyAlignment="1">
      <alignment vertical="center"/>
    </xf>
    <xf numFmtId="49" fontId="4" fillId="0" borderId="0" xfId="143" applyNumberFormat="1" applyFont="1" applyBorder="1" applyAlignment="1">
      <alignment horizontal="center"/>
      <protection/>
    </xf>
    <xf numFmtId="49" fontId="4" fillId="47" borderId="0" xfId="143" applyNumberFormat="1" applyFont="1" applyFill="1" applyBorder="1" applyAlignment="1">
      <alignment horizontal="left"/>
      <protection/>
    </xf>
    <xf numFmtId="49" fontId="0" fillId="0" borderId="0" xfId="143" applyNumberFormat="1" applyFont="1" applyFill="1" applyBorder="1" applyAlignment="1">
      <alignment horizontal="center"/>
      <protection/>
    </xf>
    <xf numFmtId="3" fontId="4" fillId="47" borderId="19" xfId="144" applyNumberFormat="1" applyFont="1" applyFill="1" applyBorder="1" applyAlignment="1">
      <alignment horizontal="center" vertical="center"/>
      <protection/>
    </xf>
    <xf numFmtId="9" fontId="0" fillId="0" borderId="0" xfId="152" applyFont="1" applyAlignment="1">
      <alignment/>
    </xf>
    <xf numFmtId="49" fontId="28" fillId="0" borderId="0" xfId="143" applyNumberFormat="1" applyFont="1" applyBorder="1" applyAlignment="1">
      <alignment wrapText="1"/>
      <protection/>
    </xf>
    <xf numFmtId="3" fontId="4" fillId="47" borderId="0" xfId="144" applyNumberFormat="1" applyFont="1" applyFill="1" applyBorder="1" applyAlignment="1">
      <alignment horizontal="center" vertical="center"/>
      <protection/>
    </xf>
    <xf numFmtId="49" fontId="28" fillId="0" borderId="0" xfId="143" applyNumberFormat="1" applyFont="1" applyAlignment="1">
      <alignment wrapText="1"/>
      <protection/>
    </xf>
    <xf numFmtId="49" fontId="36" fillId="0" borderId="0" xfId="143" applyNumberFormat="1" applyFont="1">
      <alignment/>
      <protection/>
    </xf>
    <xf numFmtId="49" fontId="36" fillId="0" borderId="0" xfId="143" applyNumberFormat="1" applyFont="1" applyAlignment="1">
      <alignment wrapText="1"/>
      <protection/>
    </xf>
    <xf numFmtId="49" fontId="3" fillId="47" borderId="0" xfId="143" applyNumberFormat="1" applyFont="1" applyFill="1" applyAlignment="1">
      <alignment/>
      <protection/>
    </xf>
    <xf numFmtId="49" fontId="71" fillId="0" borderId="0" xfId="143" applyNumberFormat="1" applyFont="1">
      <alignment/>
      <protection/>
    </xf>
    <xf numFmtId="49" fontId="13" fillId="0" borderId="0" xfId="143" applyNumberFormat="1" applyFont="1" applyBorder="1" applyAlignment="1">
      <alignment wrapText="1"/>
      <protection/>
    </xf>
    <xf numFmtId="49" fontId="0" fillId="0" borderId="0" xfId="145" applyNumberFormat="1" applyFont="1" applyAlignment="1">
      <alignment horizontal="left"/>
      <protection/>
    </xf>
    <xf numFmtId="49" fontId="14" fillId="0" borderId="0" xfId="145" applyNumberFormat="1" applyFont="1" applyAlignment="1">
      <alignment wrapText="1"/>
      <protection/>
    </xf>
    <xf numFmtId="49" fontId="3" fillId="47" borderId="0" xfId="145" applyNumberFormat="1" applyFont="1" applyFill="1" applyBorder="1" applyAlignment="1">
      <alignment horizontal="left"/>
      <protection/>
    </xf>
    <xf numFmtId="49" fontId="0" fillId="47" borderId="0" xfId="145" applyNumberFormat="1" applyFont="1" applyFill="1" applyBorder="1" applyAlignment="1">
      <alignment horizontal="left"/>
      <protection/>
    </xf>
    <xf numFmtId="49" fontId="26" fillId="0" borderId="0" xfId="145" applyNumberFormat="1" applyFont="1">
      <alignment/>
      <protection/>
    </xf>
    <xf numFmtId="49" fontId="0" fillId="47" borderId="0" xfId="145" applyNumberFormat="1" applyFont="1" applyFill="1" applyBorder="1" applyAlignment="1">
      <alignment/>
      <protection/>
    </xf>
    <xf numFmtId="49" fontId="3" fillId="0" borderId="0" xfId="145" applyNumberFormat="1" applyFont="1" applyBorder="1" applyAlignment="1">
      <alignment horizontal="left"/>
      <protection/>
    </xf>
    <xf numFmtId="49" fontId="0" fillId="0" borderId="0" xfId="145" applyNumberFormat="1" applyFont="1" applyBorder="1" applyAlignment="1">
      <alignment horizontal="left"/>
      <protection/>
    </xf>
    <xf numFmtId="49" fontId="0" fillId="0" borderId="0" xfId="145" applyNumberFormat="1" applyFont="1" applyBorder="1" applyAlignment="1">
      <alignment/>
      <protection/>
    </xf>
    <xf numFmtId="49" fontId="18" fillId="0" borderId="22" xfId="145" applyNumberFormat="1" applyFont="1" applyBorder="1" applyAlignment="1">
      <alignment horizontal="left"/>
      <protection/>
    </xf>
    <xf numFmtId="49" fontId="3" fillId="0" borderId="22" xfId="145" applyNumberFormat="1" applyFont="1" applyBorder="1" applyAlignment="1">
      <alignment horizontal="left"/>
      <protection/>
    </xf>
    <xf numFmtId="49" fontId="26" fillId="0" borderId="0" xfId="145" applyNumberFormat="1" applyFont="1" applyFill="1">
      <alignment/>
      <protection/>
    </xf>
    <xf numFmtId="49" fontId="26" fillId="0" borderId="0" xfId="145" applyNumberFormat="1" applyFont="1" applyAlignment="1">
      <alignment vertical="center"/>
      <protection/>
    </xf>
    <xf numFmtId="49" fontId="6" fillId="47" borderId="20" xfId="145" applyNumberFormat="1" applyFont="1" applyFill="1" applyBorder="1" applyAlignment="1">
      <alignment horizontal="left" vertical="center"/>
      <protection/>
    </xf>
    <xf numFmtId="49" fontId="1" fillId="0" borderId="0" xfId="145" applyNumberFormat="1" applyFont="1">
      <alignment/>
      <protection/>
    </xf>
    <xf numFmtId="49" fontId="28" fillId="0" borderId="0" xfId="145" applyNumberFormat="1" applyFont="1" applyBorder="1" applyAlignment="1">
      <alignment/>
      <protection/>
    </xf>
    <xf numFmtId="49" fontId="78" fillId="0" borderId="0" xfId="145" applyNumberFormat="1" applyFont="1">
      <alignment/>
      <protection/>
    </xf>
    <xf numFmtId="49" fontId="25" fillId="0" borderId="0" xfId="145" applyNumberFormat="1" applyFont="1" applyBorder="1" applyAlignment="1">
      <alignment/>
      <protection/>
    </xf>
    <xf numFmtId="49" fontId="5" fillId="0" borderId="0" xfId="145" applyNumberFormat="1" applyFont="1">
      <alignment/>
      <protection/>
    </xf>
    <xf numFmtId="49" fontId="28" fillId="0" borderId="0" xfId="145" applyNumberFormat="1" applyFont="1" applyAlignment="1">
      <alignment horizontal="center"/>
      <protection/>
    </xf>
    <xf numFmtId="49" fontId="28" fillId="0" borderId="0" xfId="145" applyNumberFormat="1" applyFont="1">
      <alignment/>
      <protection/>
    </xf>
    <xf numFmtId="49" fontId="78" fillId="0" borderId="0" xfId="145" applyNumberFormat="1" applyFont="1" applyAlignment="1">
      <alignment horizontal="center"/>
      <protection/>
    </xf>
    <xf numFmtId="49" fontId="13" fillId="0" borderId="0" xfId="145" applyNumberFormat="1" applyFont="1" applyBorder="1" applyAlignment="1">
      <alignment wrapText="1"/>
      <protection/>
    </xf>
    <xf numFmtId="49" fontId="80" fillId="0" borderId="0" xfId="145" applyNumberFormat="1" applyFont="1">
      <alignment/>
      <protection/>
    </xf>
    <xf numFmtId="9" fontId="26" fillId="0" borderId="0" xfId="152" applyFont="1" applyAlignment="1">
      <alignment/>
    </xf>
    <xf numFmtId="3" fontId="0" fillId="47" borderId="0" xfId="145" applyNumberFormat="1" applyFont="1" applyFill="1" applyBorder="1" applyAlignment="1">
      <alignment/>
      <protection/>
    </xf>
    <xf numFmtId="0" fontId="26" fillId="0" borderId="0" xfId="145">
      <alignment/>
      <protection/>
    </xf>
    <xf numFmtId="0" fontId="0" fillId="0" borderId="0" xfId="145" applyFont="1" applyAlignment="1">
      <alignment horizontal="left"/>
      <protection/>
    </xf>
    <xf numFmtId="0" fontId="0" fillId="0" borderId="0" xfId="145" applyFont="1" applyBorder="1" applyAlignment="1">
      <alignment/>
      <protection/>
    </xf>
    <xf numFmtId="0" fontId="0" fillId="0" borderId="0" xfId="145" applyFont="1" applyBorder="1" applyAlignment="1">
      <alignment horizontal="left"/>
      <protection/>
    </xf>
    <xf numFmtId="0" fontId="26" fillId="0" borderId="0" xfId="145" applyFont="1">
      <alignment/>
      <protection/>
    </xf>
    <xf numFmtId="0" fontId="6" fillId="0" borderId="20" xfId="145" applyFont="1" applyBorder="1" applyAlignment="1">
      <alignment horizontal="center" vertical="center"/>
      <protection/>
    </xf>
    <xf numFmtId="0" fontId="6" fillId="47" borderId="20" xfId="145" applyFont="1" applyFill="1" applyBorder="1" applyAlignment="1">
      <alignment horizontal="left" vertical="center"/>
      <protection/>
    </xf>
    <xf numFmtId="9" fontId="26" fillId="0" borderId="0" xfId="152" applyFont="1" applyAlignment="1">
      <alignment vertical="center"/>
    </xf>
    <xf numFmtId="0" fontId="5" fillId="0" borderId="23" xfId="145" applyFont="1" applyBorder="1" applyAlignment="1">
      <alignment horizontal="center" vertical="center"/>
      <protection/>
    </xf>
    <xf numFmtId="0" fontId="26" fillId="0" borderId="0" xfId="145" applyFont="1" applyAlignment="1">
      <alignment vertical="center"/>
      <protection/>
    </xf>
    <xf numFmtId="0" fontId="1" fillId="0" borderId="0" xfId="145" applyFont="1">
      <alignment/>
      <protection/>
    </xf>
    <xf numFmtId="0" fontId="25" fillId="0" borderId="0" xfId="145" applyFont="1" applyBorder="1" applyAlignment="1">
      <alignment horizontal="center" wrapText="1"/>
      <protection/>
    </xf>
    <xf numFmtId="0" fontId="28" fillId="0" borderId="0" xfId="145" applyFont="1" applyBorder="1" applyAlignment="1">
      <alignment wrapText="1"/>
      <protection/>
    </xf>
    <xf numFmtId="0" fontId="25" fillId="0" borderId="0" xfId="145" applyNumberFormat="1" applyFont="1" applyBorder="1" applyAlignment="1">
      <alignment/>
      <protection/>
    </xf>
    <xf numFmtId="0" fontId="78" fillId="0" borderId="0" xfId="145" applyFont="1">
      <alignment/>
      <protection/>
    </xf>
    <xf numFmtId="0" fontId="25" fillId="0" borderId="0" xfId="145" applyNumberFormat="1" applyFont="1" applyBorder="1" applyAlignment="1">
      <alignment horizontal="center"/>
      <protection/>
    </xf>
    <xf numFmtId="0" fontId="5" fillId="0" borderId="0" xfId="145" applyFont="1">
      <alignment/>
      <protection/>
    </xf>
    <xf numFmtId="0" fontId="28" fillId="0" borderId="0" xfId="145" applyFont="1">
      <alignment/>
      <protection/>
    </xf>
    <xf numFmtId="0" fontId="25" fillId="0" borderId="0" xfId="143" applyFont="1" applyAlignment="1">
      <alignment/>
      <protection/>
    </xf>
    <xf numFmtId="49" fontId="19" fillId="0" borderId="0" xfId="145" applyNumberFormat="1" applyFont="1">
      <alignment/>
      <protection/>
    </xf>
    <xf numFmtId="49" fontId="4" fillId="47" borderId="0" xfId="145" applyNumberFormat="1" applyFont="1" applyFill="1" applyBorder="1" applyAlignment="1">
      <alignment horizontal="left"/>
      <protection/>
    </xf>
    <xf numFmtId="49" fontId="4" fillId="0" borderId="0" xfId="145" applyNumberFormat="1" applyFont="1" applyBorder="1" applyAlignment="1">
      <alignment horizontal="left"/>
      <protection/>
    </xf>
    <xf numFmtId="49" fontId="0" fillId="0" borderId="22" xfId="145" applyNumberFormat="1" applyFont="1" applyBorder="1" applyAlignment="1">
      <alignment/>
      <protection/>
    </xf>
    <xf numFmtId="49" fontId="6" fillId="0" borderId="20" xfId="145" applyNumberFormat="1" applyFont="1" applyFill="1" applyBorder="1" applyAlignment="1">
      <alignment horizontal="center" vertical="center" wrapText="1"/>
      <protection/>
    </xf>
    <xf numFmtId="49" fontId="5" fillId="0" borderId="24" xfId="145" applyNumberFormat="1" applyFont="1" applyFill="1" applyBorder="1">
      <alignment/>
      <protection/>
    </xf>
    <xf numFmtId="49" fontId="5" fillId="0" borderId="0" xfId="145" applyNumberFormat="1" applyFont="1" applyFill="1">
      <alignment/>
      <protection/>
    </xf>
    <xf numFmtId="49" fontId="24" fillId="0" borderId="0" xfId="145" applyNumberFormat="1" applyFont="1" applyFill="1">
      <alignment/>
      <protection/>
    </xf>
    <xf numFmtId="49" fontId="6" fillId="0" borderId="25" xfId="145" applyNumberFormat="1" applyFont="1" applyFill="1" applyBorder="1" applyAlignment="1">
      <alignment horizontal="center" vertical="center" wrapText="1"/>
      <protection/>
    </xf>
    <xf numFmtId="49" fontId="19" fillId="0" borderId="20" xfId="145" applyNumberFormat="1" applyFont="1" applyFill="1" applyBorder="1" applyAlignment="1">
      <alignment horizontal="center" vertical="center"/>
      <protection/>
    </xf>
    <xf numFmtId="49" fontId="19" fillId="0" borderId="20" xfId="145" applyNumberFormat="1" applyFont="1" applyBorder="1" applyAlignment="1">
      <alignment horizontal="center" vertical="center"/>
      <protection/>
    </xf>
    <xf numFmtId="49" fontId="5" fillId="0" borderId="0" xfId="145" applyNumberFormat="1" applyFont="1" applyAlignment="1">
      <alignment vertical="center"/>
      <protection/>
    </xf>
    <xf numFmtId="3" fontId="29" fillId="3" borderId="20" xfId="145" applyNumberFormat="1" applyFont="1" applyFill="1" applyBorder="1" applyAlignment="1">
      <alignment horizontal="center" vertical="center"/>
      <protection/>
    </xf>
    <xf numFmtId="3" fontId="68" fillId="3" borderId="20" xfId="145" applyNumberFormat="1" applyFont="1" applyFill="1" applyBorder="1" applyAlignment="1">
      <alignment horizontal="center" vertical="center"/>
      <protection/>
    </xf>
    <xf numFmtId="3" fontId="29" fillId="4" borderId="20" xfId="145" applyNumberFormat="1" applyFont="1" applyFill="1" applyBorder="1" applyAlignment="1">
      <alignment horizontal="center" vertical="center"/>
      <protection/>
    </xf>
    <xf numFmtId="3" fontId="6" fillId="44" borderId="20" xfId="145" applyNumberFormat="1" applyFont="1" applyFill="1" applyBorder="1" applyAlignment="1">
      <alignment horizontal="center" vertical="center"/>
      <protection/>
    </xf>
    <xf numFmtId="49" fontId="6" fillId="0" borderId="20" xfId="145" applyNumberFormat="1" applyFont="1" applyBorder="1" applyAlignment="1">
      <alignment horizontal="center" vertical="center"/>
      <protection/>
    </xf>
    <xf numFmtId="3" fontId="5" fillId="47" borderId="20" xfId="145" applyNumberFormat="1" applyFont="1" applyFill="1" applyBorder="1" applyAlignment="1">
      <alignment horizontal="center" vertical="center"/>
      <protection/>
    </xf>
    <xf numFmtId="49" fontId="6" fillId="0" borderId="23" xfId="145" applyNumberFormat="1" applyFont="1" applyBorder="1" applyAlignment="1">
      <alignment horizontal="center" vertical="center"/>
      <protection/>
    </xf>
    <xf numFmtId="49" fontId="5" fillId="0" borderId="23" xfId="145" applyNumberFormat="1" applyFont="1" applyBorder="1" applyAlignment="1">
      <alignment horizontal="center" vertical="center"/>
      <protection/>
    </xf>
    <xf numFmtId="3" fontId="5" fillId="0" borderId="20" xfId="145" applyNumberFormat="1" applyFont="1" applyBorder="1" applyAlignment="1">
      <alignment horizontal="center" vertical="center"/>
      <protection/>
    </xf>
    <xf numFmtId="49" fontId="86" fillId="0" borderId="0" xfId="145" applyNumberFormat="1" applyFont="1">
      <alignment/>
      <protection/>
    </xf>
    <xf numFmtId="49" fontId="26" fillId="0" borderId="0" xfId="145" applyNumberFormat="1">
      <alignment/>
      <protection/>
    </xf>
    <xf numFmtId="49" fontId="28" fillId="0" borderId="0" xfId="145" applyNumberFormat="1" applyFont="1" applyBorder="1" applyAlignment="1">
      <alignment wrapText="1"/>
      <protection/>
    </xf>
    <xf numFmtId="49" fontId="21" fillId="0" borderId="0" xfId="145" applyNumberFormat="1" applyFont="1">
      <alignment/>
      <protection/>
    </xf>
    <xf numFmtId="49" fontId="30" fillId="0" borderId="0" xfId="145" applyNumberFormat="1" applyFont="1">
      <alignment/>
      <protection/>
    </xf>
    <xf numFmtId="49" fontId="30" fillId="0" borderId="0" xfId="145" applyNumberFormat="1" applyFont="1" applyAlignment="1">
      <alignment horizontal="center"/>
      <protection/>
    </xf>
    <xf numFmtId="0" fontId="4" fillId="0" borderId="0" xfId="145" applyNumberFormat="1" applyFont="1" applyAlignment="1">
      <alignment horizontal="left"/>
      <protection/>
    </xf>
    <xf numFmtId="0" fontId="5" fillId="0" borderId="0" xfId="145" applyFont="1" applyAlignment="1">
      <alignment/>
      <protection/>
    </xf>
    <xf numFmtId="3" fontId="5" fillId="0" borderId="0" xfId="145" applyNumberFormat="1" applyFont="1">
      <alignment/>
      <protection/>
    </xf>
    <xf numFmtId="0" fontId="7" fillId="0" borderId="0" xfId="145" applyFont="1" applyBorder="1" applyAlignment="1">
      <alignment/>
      <protection/>
    </xf>
    <xf numFmtId="0" fontId="26" fillId="0" borderId="24" xfId="145" applyFont="1" applyBorder="1">
      <alignment/>
      <protection/>
    </xf>
    <xf numFmtId="0" fontId="26" fillId="0" borderId="0" xfId="145" applyFont="1" applyBorder="1">
      <alignment/>
      <protection/>
    </xf>
    <xf numFmtId="0" fontId="12" fillId="0" borderId="20" xfId="145" applyFont="1" applyBorder="1" applyAlignment="1">
      <alignment horizontal="center" vertical="center" wrapText="1"/>
      <protection/>
    </xf>
    <xf numFmtId="0" fontId="19" fillId="0" borderId="23" xfId="145" applyFont="1" applyFill="1" applyBorder="1" applyAlignment="1">
      <alignment horizontal="center" vertical="center"/>
      <protection/>
    </xf>
    <xf numFmtId="0" fontId="19" fillId="0" borderId="20" xfId="145" applyFont="1" applyFill="1" applyBorder="1" applyAlignment="1">
      <alignment horizontal="center" vertical="center"/>
      <protection/>
    </xf>
    <xf numFmtId="0" fontId="19" fillId="0" borderId="20" xfId="145" applyFont="1" applyBorder="1" applyAlignment="1">
      <alignment horizontal="center" vertical="center"/>
      <protection/>
    </xf>
    <xf numFmtId="3" fontId="20" fillId="3" borderId="20" xfId="145" applyNumberFormat="1" applyFont="1" applyFill="1" applyBorder="1" applyAlignment="1">
      <alignment horizontal="center" vertical="center"/>
      <protection/>
    </xf>
    <xf numFmtId="3" fontId="34" fillId="3" borderId="20" xfId="145" applyNumberFormat="1" applyFont="1" applyFill="1" applyBorder="1" applyAlignment="1">
      <alignment horizontal="center" vertical="center"/>
      <protection/>
    </xf>
    <xf numFmtId="3" fontId="3" fillId="44" borderId="23" xfId="145" applyNumberFormat="1" applyFont="1" applyFill="1" applyBorder="1" applyAlignment="1">
      <alignment horizontal="center" vertical="center"/>
      <protection/>
    </xf>
    <xf numFmtId="3" fontId="0" fillId="48" borderId="23" xfId="145" applyNumberFormat="1" applyFont="1" applyFill="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6" xfId="145" applyNumberFormat="1" applyFont="1" applyBorder="1" applyAlignment="1">
      <alignment horizontal="center" vertical="center"/>
      <protection/>
    </xf>
    <xf numFmtId="0" fontId="6" fillId="0" borderId="23" xfId="145" applyFont="1" applyBorder="1" applyAlignment="1">
      <alignment horizontal="center" vertical="center"/>
      <protection/>
    </xf>
    <xf numFmtId="3" fontId="0" fillId="44" borderId="23" xfId="145" applyNumberFormat="1" applyFont="1" applyFill="1" applyBorder="1" applyAlignment="1">
      <alignment horizontal="center" vertical="center"/>
      <protection/>
    </xf>
    <xf numFmtId="3" fontId="0" fillId="47" borderId="20" xfId="145" applyNumberFormat="1" applyFont="1" applyFill="1" applyBorder="1" applyAlignment="1">
      <alignment horizontal="center" vertical="center"/>
      <protection/>
    </xf>
    <xf numFmtId="3" fontId="0" fillId="47" borderId="26" xfId="145" applyNumberFormat="1" applyFont="1" applyFill="1" applyBorder="1" applyAlignment="1">
      <alignment horizontal="center" vertical="center"/>
      <protection/>
    </xf>
    <xf numFmtId="0" fontId="28" fillId="0" borderId="0" xfId="145" applyNumberFormat="1" applyFont="1" applyBorder="1" applyAlignment="1">
      <alignment/>
      <protection/>
    </xf>
    <xf numFmtId="0" fontId="87" fillId="0" borderId="0" xfId="145" applyFont="1">
      <alignment/>
      <protection/>
    </xf>
    <xf numFmtId="0" fontId="16" fillId="0" borderId="0" xfId="145" applyFont="1">
      <alignment/>
      <protection/>
    </xf>
    <xf numFmtId="0" fontId="27" fillId="0" borderId="0" xfId="145" applyFont="1">
      <alignment/>
      <protection/>
    </xf>
    <xf numFmtId="0" fontId="13" fillId="0" borderId="0" xfId="145" applyFont="1">
      <alignment/>
      <protection/>
    </xf>
    <xf numFmtId="49" fontId="13" fillId="0" borderId="0" xfId="145" applyNumberFormat="1" applyFont="1">
      <alignment/>
      <protection/>
    </xf>
    <xf numFmtId="0" fontId="80" fillId="0" borderId="0" xfId="145" applyFont="1">
      <alignment/>
      <protection/>
    </xf>
    <xf numFmtId="49" fontId="18" fillId="0" borderId="0" xfId="145" applyNumberFormat="1" applyFont="1" applyBorder="1" applyAlignment="1">
      <alignment/>
      <protection/>
    </xf>
    <xf numFmtId="49" fontId="26" fillId="0" borderId="0" xfId="145" applyNumberFormat="1" applyFont="1" applyAlignment="1">
      <alignment horizontal="center"/>
      <protection/>
    </xf>
    <xf numFmtId="3" fontId="19" fillId="47" borderId="22" xfId="145" applyNumberFormat="1" applyFont="1" applyFill="1" applyBorder="1" applyAlignment="1">
      <alignment horizontal="center"/>
      <protection/>
    </xf>
    <xf numFmtId="49" fontId="5" fillId="0" borderId="22" xfId="145" applyNumberFormat="1" applyFont="1" applyBorder="1" applyAlignment="1">
      <alignment/>
      <protection/>
    </xf>
    <xf numFmtId="49" fontId="26" fillId="0" borderId="0" xfId="145" applyNumberFormat="1" applyFill="1">
      <alignment/>
      <protection/>
    </xf>
    <xf numFmtId="49" fontId="26" fillId="0" borderId="0" xfId="145" applyNumberFormat="1" applyFill="1" applyAlignment="1">
      <alignment vertical="center" wrapText="1"/>
      <protection/>
    </xf>
    <xf numFmtId="49" fontId="26" fillId="0" borderId="0" xfId="145" applyNumberFormat="1" applyAlignment="1">
      <alignment vertical="center"/>
      <protection/>
    </xf>
    <xf numFmtId="3" fontId="5" fillId="44" borderId="20" xfId="145" applyNumberFormat="1" applyFont="1" applyFill="1" applyBorder="1" applyAlignment="1">
      <alignment horizontal="center" vertical="center"/>
      <protection/>
    </xf>
    <xf numFmtId="3" fontId="26" fillId="0" borderId="20" xfId="145" applyNumberFormat="1" applyFont="1" applyBorder="1" applyAlignment="1">
      <alignment horizontal="center" vertical="center"/>
      <protection/>
    </xf>
    <xf numFmtId="0" fontId="5" fillId="0" borderId="20" xfId="145" applyFont="1" applyBorder="1" applyAlignment="1">
      <alignment horizontal="center" vertical="center"/>
      <protection/>
    </xf>
    <xf numFmtId="3" fontId="5" fillId="0" borderId="20" xfId="145" applyNumberFormat="1" applyFont="1" applyFill="1" applyBorder="1" applyAlignment="1">
      <alignment horizontal="center" vertical="center"/>
      <protection/>
    </xf>
    <xf numFmtId="3" fontId="26" fillId="0" borderId="20" xfId="145" applyNumberFormat="1" applyFont="1" applyFill="1" applyBorder="1" applyAlignment="1">
      <alignment horizontal="center" vertical="center"/>
      <protection/>
    </xf>
    <xf numFmtId="49" fontId="26" fillId="0" borderId="0" xfId="145" applyNumberFormat="1" applyAlignment="1">
      <alignment horizontal="center"/>
      <protection/>
    </xf>
    <xf numFmtId="49" fontId="71" fillId="0" borderId="0" xfId="145" applyNumberFormat="1" applyFont="1" applyAlignment="1">
      <alignment horizontal="left"/>
      <protection/>
    </xf>
    <xf numFmtId="49" fontId="30" fillId="0" borderId="0" xfId="145" applyNumberFormat="1" applyFont="1" applyAlignment="1">
      <alignment/>
      <protection/>
    </xf>
    <xf numFmtId="49" fontId="3" fillId="47" borderId="0" xfId="145" applyNumberFormat="1" applyFont="1" applyFill="1" applyBorder="1" applyAlignment="1">
      <alignment/>
      <protection/>
    </xf>
    <xf numFmtId="49" fontId="3" fillId="0" borderId="0" xfId="145" applyNumberFormat="1" applyFont="1" applyAlignment="1">
      <alignment/>
      <protection/>
    </xf>
    <xf numFmtId="49" fontId="3" fillId="0" borderId="0" xfId="145" applyNumberFormat="1" applyFont="1" applyBorder="1" applyAlignment="1">
      <alignment/>
      <protection/>
    </xf>
    <xf numFmtId="49" fontId="6" fillId="0" borderId="22" xfId="145" applyNumberFormat="1" applyFont="1" applyBorder="1" applyAlignment="1">
      <alignment/>
      <protection/>
    </xf>
    <xf numFmtId="3" fontId="19" fillId="0" borderId="20" xfId="145" applyNumberFormat="1" applyFont="1" applyBorder="1" applyAlignment="1">
      <alignment horizontal="center" vertical="center"/>
      <protection/>
    </xf>
    <xf numFmtId="49" fontId="26" fillId="47" borderId="0" xfId="145" applyNumberFormat="1" applyFont="1" applyFill="1" applyAlignment="1">
      <alignment vertical="center"/>
      <protection/>
    </xf>
    <xf numFmtId="3" fontId="26" fillId="47" borderId="20" xfId="145" applyNumberFormat="1" applyFont="1" applyFill="1" applyBorder="1" applyAlignment="1">
      <alignment horizontal="center" vertical="center"/>
      <protection/>
    </xf>
    <xf numFmtId="3" fontId="90" fillId="0" borderId="20" xfId="145" applyNumberFormat="1" applyFont="1" applyBorder="1" applyAlignment="1">
      <alignment horizontal="center" vertical="center"/>
      <protection/>
    </xf>
    <xf numFmtId="0" fontId="5" fillId="0" borderId="19" xfId="145" applyFont="1" applyFill="1" applyBorder="1" applyAlignment="1">
      <alignment horizontal="center" vertical="center"/>
      <protection/>
    </xf>
    <xf numFmtId="49" fontId="6" fillId="0" borderId="19" xfId="143" applyNumberFormat="1" applyFont="1" applyFill="1" applyBorder="1" applyAlignment="1">
      <alignment horizontal="left" vertical="center"/>
      <protection/>
    </xf>
    <xf numFmtId="3" fontId="5" fillId="0" borderId="19" xfId="145" applyNumberFormat="1" applyFont="1" applyFill="1" applyBorder="1" applyAlignment="1">
      <alignment horizontal="center" vertical="center"/>
      <protection/>
    </xf>
    <xf numFmtId="3" fontId="19" fillId="0" borderId="19" xfId="145" applyNumberFormat="1" applyFont="1" applyFill="1" applyBorder="1" applyAlignment="1">
      <alignment horizontal="center" vertical="center"/>
      <protection/>
    </xf>
    <xf numFmtId="3" fontId="26" fillId="0" borderId="19" xfId="145" applyNumberFormat="1" applyFont="1" applyFill="1" applyBorder="1" applyAlignment="1">
      <alignment vertical="center"/>
      <protection/>
    </xf>
    <xf numFmtId="3" fontId="91" fillId="0" borderId="19" xfId="145" applyNumberFormat="1" applyFont="1" applyFill="1" applyBorder="1" applyAlignment="1">
      <alignment vertical="center"/>
      <protection/>
    </xf>
    <xf numFmtId="49" fontId="30" fillId="0" borderId="0" xfId="145" applyNumberFormat="1" applyFont="1" applyBorder="1" applyAlignment="1">
      <alignment/>
      <protection/>
    </xf>
    <xf numFmtId="49" fontId="28" fillId="0" borderId="0" xfId="145" applyNumberFormat="1" applyFont="1" applyBorder="1" applyAlignment="1">
      <alignment horizontal="center"/>
      <protection/>
    </xf>
    <xf numFmtId="49" fontId="28" fillId="0" borderId="0" xfId="145" applyNumberFormat="1" applyFont="1" applyAlignment="1">
      <alignment/>
      <protection/>
    </xf>
    <xf numFmtId="0" fontId="5" fillId="47" borderId="0" xfId="145" applyFont="1" applyFill="1" applyBorder="1" applyAlignment="1">
      <alignment/>
      <protection/>
    </xf>
    <xf numFmtId="49" fontId="92" fillId="0" borderId="0" xfId="145" applyNumberFormat="1" applyFont="1">
      <alignment/>
      <protection/>
    </xf>
    <xf numFmtId="49" fontId="93" fillId="0" borderId="0" xfId="145" applyNumberFormat="1" applyFont="1">
      <alignment/>
      <protection/>
    </xf>
    <xf numFmtId="49" fontId="94" fillId="0" borderId="0" xfId="145" applyNumberFormat="1" applyFont="1" applyAlignment="1">
      <alignment horizontal="center"/>
      <protection/>
    </xf>
    <xf numFmtId="49" fontId="25" fillId="47" borderId="0" xfId="143" applyNumberFormat="1" applyFont="1" applyFill="1" applyAlignment="1">
      <alignment/>
      <protection/>
    </xf>
    <xf numFmtId="49" fontId="79" fillId="0" borderId="0" xfId="145" applyNumberFormat="1" applyFont="1">
      <alignment/>
      <protection/>
    </xf>
    <xf numFmtId="49" fontId="30" fillId="0" borderId="0" xfId="145" applyNumberFormat="1" applyFont="1" applyBorder="1" applyAlignment="1">
      <alignment wrapText="1"/>
      <protection/>
    </xf>
    <xf numFmtId="49" fontId="82" fillId="0" borderId="0" xfId="145" applyNumberFormat="1" applyFont="1">
      <alignment/>
      <protection/>
    </xf>
    <xf numFmtId="49" fontId="77" fillId="0" borderId="0" xfId="145" applyNumberFormat="1" applyFont="1">
      <alignment/>
      <protection/>
    </xf>
    <xf numFmtId="49" fontId="14"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3" fillId="0" borderId="0" xfId="145" applyNumberFormat="1" applyFont="1" applyFill="1" applyBorder="1" applyAlignment="1">
      <alignment/>
      <protection/>
    </xf>
    <xf numFmtId="49" fontId="95" fillId="0" borderId="0" xfId="145" applyNumberFormat="1" applyFont="1" applyFill="1">
      <alignment/>
      <protection/>
    </xf>
    <xf numFmtId="49" fontId="26" fillId="0" borderId="0" xfId="145" applyNumberFormat="1" applyFont="1" applyFill="1" applyAlignment="1">
      <alignment horizontal="center"/>
      <protection/>
    </xf>
    <xf numFmtId="49" fontId="19" fillId="0" borderId="0" xfId="145" applyNumberFormat="1" applyFont="1" applyFill="1" applyBorder="1" applyAlignment="1">
      <alignment/>
      <protection/>
    </xf>
    <xf numFmtId="49" fontId="6" fillId="0" borderId="0" xfId="145" applyNumberFormat="1" applyFont="1" applyFill="1" applyBorder="1" applyAlignment="1">
      <alignment/>
      <protection/>
    </xf>
    <xf numFmtId="49" fontId="81" fillId="0" borderId="0" xfId="145" applyNumberFormat="1" applyFont="1" applyFill="1">
      <alignment/>
      <protection/>
    </xf>
    <xf numFmtId="49" fontId="81" fillId="0" borderId="0" xfId="145" applyNumberFormat="1" applyFont="1" applyFill="1" applyAlignment="1">
      <alignment/>
      <protection/>
    </xf>
    <xf numFmtId="49" fontId="19" fillId="0" borderId="27" xfId="145" applyNumberFormat="1" applyFont="1" applyFill="1" applyBorder="1" applyAlignment="1">
      <alignment horizontal="center" vertical="center"/>
      <protection/>
    </xf>
    <xf numFmtId="3" fontId="6" fillId="44" borderId="27" xfId="145" applyNumberFormat="1" applyFont="1" applyFill="1" applyBorder="1" applyAlignment="1">
      <alignment horizontal="center" vertical="center"/>
      <protection/>
    </xf>
    <xf numFmtId="3" fontId="6" fillId="44" borderId="23" xfId="145" applyNumberFormat="1" applyFont="1" applyFill="1" applyBorder="1" applyAlignment="1">
      <alignment horizontal="center" vertical="center"/>
      <protection/>
    </xf>
    <xf numFmtId="49" fontId="3" fillId="0" borderId="0" xfId="145" applyNumberFormat="1" applyFont="1" applyAlignment="1">
      <alignment horizontal="center"/>
      <protection/>
    </xf>
    <xf numFmtId="49" fontId="25" fillId="0" borderId="0" xfId="145" applyNumberFormat="1" applyFont="1">
      <alignment/>
      <protection/>
    </xf>
    <xf numFmtId="49" fontId="3" fillId="0" borderId="0" xfId="145" applyNumberFormat="1" applyFont="1">
      <alignment/>
      <protection/>
    </xf>
    <xf numFmtId="49" fontId="28" fillId="0" borderId="0" xfId="145" applyNumberFormat="1" applyFont="1">
      <alignment/>
      <protection/>
    </xf>
    <xf numFmtId="3" fontId="3" fillId="47" borderId="0" xfId="145" applyNumberFormat="1" applyFont="1" applyFill="1" applyBorder="1" applyAlignment="1">
      <alignment/>
      <protection/>
    </xf>
    <xf numFmtId="0" fontId="3" fillId="0" borderId="0" xfId="145" applyFont="1">
      <alignment/>
      <protection/>
    </xf>
    <xf numFmtId="0" fontId="4" fillId="0" borderId="0" xfId="145" applyFont="1" applyBorder="1" applyAlignment="1">
      <alignment horizontal="left"/>
      <protection/>
    </xf>
    <xf numFmtId="3" fontId="0" fillId="0" borderId="0" xfId="145" applyNumberFormat="1" applyFont="1" applyAlignment="1">
      <alignment horizontal="left"/>
      <protection/>
    </xf>
    <xf numFmtId="0" fontId="13" fillId="0" borderId="0" xfId="145" applyFont="1" applyBorder="1" applyAlignment="1">
      <alignment/>
      <protection/>
    </xf>
    <xf numFmtId="0" fontId="7" fillId="0" borderId="20" xfId="145" applyFont="1" applyFill="1" applyBorder="1" applyAlignment="1">
      <alignment horizontal="center" vertical="center" wrapText="1"/>
      <protection/>
    </xf>
    <xf numFmtId="0" fontId="3" fillId="0" borderId="0" xfId="145" applyFont="1" applyFill="1" applyBorder="1">
      <alignment/>
      <protection/>
    </xf>
    <xf numFmtId="0" fontId="3" fillId="0" borderId="0" xfId="145" applyFont="1" applyFill="1">
      <alignment/>
      <protection/>
    </xf>
    <xf numFmtId="3" fontId="18" fillId="0" borderId="20" xfId="145" applyNumberFormat="1" applyFont="1" applyBorder="1" applyAlignment="1">
      <alignment horizontal="center" vertical="center"/>
      <protection/>
    </xf>
    <xf numFmtId="0" fontId="0" fillId="0" borderId="0" xfId="145" applyFont="1" applyAlignment="1">
      <alignment horizontal="center" vertical="center"/>
      <protection/>
    </xf>
    <xf numFmtId="3" fontId="4" fillId="44" borderId="20" xfId="145" applyNumberFormat="1" applyFont="1" applyFill="1" applyBorder="1" applyAlignment="1">
      <alignment horizontal="center" vertical="center"/>
      <protection/>
    </xf>
    <xf numFmtId="0" fontId="3" fillId="0" borderId="0" xfId="145" applyFont="1" applyAlignment="1">
      <alignment vertical="center"/>
      <protection/>
    </xf>
    <xf numFmtId="9" fontId="3" fillId="0" borderId="0" xfId="152" applyFont="1" applyAlignment="1">
      <alignment vertical="center"/>
    </xf>
    <xf numFmtId="0" fontId="3" fillId="0" borderId="0" xfId="145" applyFont="1" applyAlignment="1">
      <alignment horizontal="center"/>
      <protection/>
    </xf>
    <xf numFmtId="0" fontId="25" fillId="0" borderId="0" xfId="145" applyFont="1">
      <alignment/>
      <protection/>
    </xf>
    <xf numFmtId="0" fontId="71" fillId="0" borderId="0" xfId="145" applyFont="1" applyAlignment="1">
      <alignment horizontal="center"/>
      <protection/>
    </xf>
    <xf numFmtId="49" fontId="51" fillId="0" borderId="0" xfId="145" applyNumberFormat="1" applyFont="1">
      <alignment/>
      <protection/>
    </xf>
    <xf numFmtId="49" fontId="96" fillId="0" borderId="0" xfId="145" applyNumberFormat="1" applyFont="1" applyBorder="1" applyAlignment="1">
      <alignment wrapText="1"/>
      <protection/>
    </xf>
    <xf numFmtId="0" fontId="30" fillId="0" borderId="0" xfId="145"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1"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1"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1"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1"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41"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41" applyNumberFormat="1" applyFont="1" applyFill="1" applyBorder="1" applyAlignment="1" applyProtection="1">
      <alignment horizontal="center" vertical="center"/>
      <protection/>
    </xf>
    <xf numFmtId="10" fontId="28" fillId="0" borderId="20" xfId="134" applyNumberFormat="1" applyFont="1" applyFill="1" applyBorder="1" applyAlignment="1">
      <alignment horizontal="center" vertical="center"/>
      <protection/>
    </xf>
    <xf numFmtId="10" fontId="51" fillId="0" borderId="20" xfId="134"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4" applyNumberFormat="1" applyFont="1" applyFill="1" applyBorder="1" applyAlignment="1">
      <alignment horizontal="center" vertical="center"/>
      <protection/>
    </xf>
    <xf numFmtId="3" fontId="56" fillId="47" borderId="20" xfId="141"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41" applyNumberFormat="1" applyFont="1" applyFill="1" applyBorder="1" applyAlignment="1" applyProtection="1">
      <alignment horizontal="center" vertical="center"/>
      <protection/>
    </xf>
    <xf numFmtId="10" fontId="56" fillId="0" borderId="36" xfId="134"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1" applyNumberFormat="1" applyFont="1" applyFill="1" applyBorder="1" applyAlignment="1" applyProtection="1">
      <alignment horizontal="center" vertical="center"/>
      <protection/>
    </xf>
    <xf numFmtId="3" fontId="4" fillId="47" borderId="37" xfId="141"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149" fillId="49" borderId="20" xfId="0" applyFont="1" applyFill="1" applyBorder="1" applyAlignment="1">
      <alignment/>
    </xf>
    <xf numFmtId="0" fontId="0" fillId="49" borderId="20" xfId="0" applyFont="1" applyFill="1" applyBorder="1" applyAlignment="1">
      <alignment/>
    </xf>
    <xf numFmtId="49" fontId="4" fillId="50" borderId="20" xfId="0" applyNumberFormat="1" applyFont="1" applyFill="1" applyBorder="1" applyAlignment="1" applyProtection="1">
      <alignment horizontal="center" vertical="center"/>
      <protection/>
    </xf>
    <xf numFmtId="49" fontId="0" fillId="50" borderId="0" xfId="0" applyNumberFormat="1" applyFont="1" applyFill="1" applyAlignment="1">
      <alignment/>
    </xf>
    <xf numFmtId="49" fontId="0" fillId="50" borderId="0" xfId="0" applyNumberFormat="1" applyFont="1" applyFill="1" applyAlignment="1">
      <alignment/>
    </xf>
    <xf numFmtId="49" fontId="4" fillId="50" borderId="26" xfId="0" applyNumberFormat="1" applyFont="1" applyFill="1" applyBorder="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2"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3" fillId="0" borderId="0" xfId="0" applyNumberFormat="1" applyFont="1" applyFill="1" applyBorder="1" applyAlignment="1">
      <alignment/>
    </xf>
    <xf numFmtId="49" fontId="13" fillId="0" borderId="20" xfId="0" applyNumberFormat="1" applyFont="1" applyFill="1" applyBorder="1" applyAlignment="1" applyProtection="1">
      <alignment horizontal="center" vertical="center"/>
      <protection/>
    </xf>
    <xf numFmtId="49" fontId="4" fillId="0" borderId="2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194" fontId="8" fillId="50" borderId="20" xfId="99" applyNumberFormat="1" applyFont="1" applyFill="1" applyBorder="1" applyAlignment="1" applyProtection="1">
      <alignment horizontal="center" vertical="center"/>
      <protection/>
    </xf>
    <xf numFmtId="49" fontId="8" fillId="50" borderId="20" xfId="0" applyNumberFormat="1" applyFont="1" applyFill="1" applyBorder="1" applyAlignment="1" applyProtection="1">
      <alignment vertical="center"/>
      <protection/>
    </xf>
    <xf numFmtId="49" fontId="8" fillId="50" borderId="20" xfId="0" applyNumberFormat="1" applyFont="1" applyFill="1" applyBorder="1" applyAlignment="1" applyProtection="1">
      <alignment horizontal="center" vertical="center"/>
      <protection/>
    </xf>
    <xf numFmtId="0" fontId="8" fillId="50" borderId="20" xfId="0" applyNumberFormat="1" applyFont="1" applyFill="1" applyBorder="1" applyAlignment="1" applyProtection="1">
      <alignment vertical="center"/>
      <protection/>
    </xf>
    <xf numFmtId="49" fontId="8" fillId="50" borderId="20" xfId="137" applyNumberFormat="1" applyFont="1" applyFill="1" applyBorder="1">
      <alignment/>
      <protection/>
    </xf>
    <xf numFmtId="0" fontId="8" fillId="50" borderId="20" xfId="137" applyFont="1" applyFill="1" applyBorder="1" applyAlignment="1">
      <alignment horizontal="left" vertical="center"/>
      <protection/>
    </xf>
    <xf numFmtId="49" fontId="8" fillId="50" borderId="20" xfId="137" applyNumberFormat="1" applyFont="1" applyFill="1" applyBorder="1" applyAlignment="1" applyProtection="1">
      <alignment vertical="center"/>
      <protection/>
    </xf>
    <xf numFmtId="41" fontId="8" fillId="50" borderId="20" xfId="99" applyNumberFormat="1" applyFont="1" applyFill="1" applyBorder="1" applyAlignment="1" applyProtection="1">
      <alignment horizontal="right" vertical="center"/>
      <protection/>
    </xf>
    <xf numFmtId="49" fontId="8" fillId="50" borderId="20" xfId="0" applyNumberFormat="1" applyFont="1" applyFill="1" applyBorder="1" applyAlignment="1" applyProtection="1">
      <alignment horizontal="left" vertical="center"/>
      <protection/>
    </xf>
    <xf numFmtId="3" fontId="8" fillId="50" borderId="20" xfId="0" applyNumberFormat="1" applyFont="1" applyFill="1" applyBorder="1" applyAlignment="1" applyProtection="1">
      <alignment horizontal="center" vertical="center"/>
      <protection/>
    </xf>
    <xf numFmtId="49" fontId="101" fillId="0" borderId="39" xfId="0" applyNumberFormat="1" applyFont="1" applyFill="1" applyBorder="1" applyAlignment="1" applyProtection="1">
      <alignment horizontal="center" vertical="center"/>
      <protection/>
    </xf>
    <xf numFmtId="49" fontId="101" fillId="0" borderId="20" xfId="0" applyNumberFormat="1" applyFont="1" applyFill="1" applyBorder="1" applyAlignment="1" applyProtection="1">
      <alignment horizontal="center" vertical="center"/>
      <protection/>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2" applyNumberFormat="1" applyFont="1" applyFill="1" applyBorder="1" applyAlignment="1" applyProtection="1">
      <alignment horizontal="center" vertical="center"/>
      <protection/>
    </xf>
    <xf numFmtId="3" fontId="0" fillId="0" borderId="0" xfId="0" applyNumberFormat="1" applyFont="1" applyFill="1" applyAlignment="1">
      <alignment/>
    </xf>
    <xf numFmtId="194" fontId="150" fillId="50" borderId="20" xfId="0" applyNumberFormat="1" applyFont="1" applyFill="1" applyBorder="1" applyAlignment="1" applyProtection="1">
      <alignment horizontal="right" vertical="center"/>
      <protection/>
    </xf>
    <xf numFmtId="210" fontId="150" fillId="50" borderId="20" xfId="0" applyNumberFormat="1" applyFont="1" applyFill="1" applyBorder="1" applyAlignment="1">
      <alignment horizontal="right" vertical="center"/>
    </xf>
    <xf numFmtId="49" fontId="151" fillId="50" borderId="20" xfId="0" applyNumberFormat="1" applyFont="1" applyFill="1" applyBorder="1" applyAlignment="1" applyProtection="1">
      <alignment horizontal="center" vertical="center"/>
      <protection/>
    </xf>
    <xf numFmtId="49" fontId="151" fillId="50" borderId="26" xfId="0" applyNumberFormat="1" applyFont="1" applyFill="1" applyBorder="1" applyAlignment="1" applyProtection="1">
      <alignment vertical="center"/>
      <protection/>
    </xf>
    <xf numFmtId="49" fontId="4" fillId="50" borderId="26" xfId="0" applyNumberFormat="1" applyFont="1" applyFill="1" applyBorder="1" applyAlignment="1" applyProtection="1">
      <alignment vertical="center"/>
      <protection/>
    </xf>
    <xf numFmtId="194" fontId="5" fillId="50" borderId="20" xfId="0" applyNumberFormat="1" applyFont="1" applyFill="1" applyBorder="1" applyAlignment="1" applyProtection="1">
      <alignment horizontal="right" vertical="center"/>
      <protection/>
    </xf>
    <xf numFmtId="194" fontId="150" fillId="50" borderId="20" xfId="0" applyNumberFormat="1" applyFont="1" applyFill="1" applyBorder="1" applyAlignment="1">
      <alignment horizontal="right" vertical="center"/>
    </xf>
    <xf numFmtId="210" fontId="5" fillId="50" borderId="20" xfId="0" applyNumberFormat="1" applyFont="1" applyFill="1" applyBorder="1" applyAlignment="1">
      <alignment horizontal="right" vertical="center"/>
    </xf>
    <xf numFmtId="3" fontId="5" fillId="50" borderId="20" xfId="0" applyNumberFormat="1" applyFont="1" applyFill="1" applyBorder="1" applyAlignment="1" applyProtection="1">
      <alignment horizontal="center" vertical="center"/>
      <protection/>
    </xf>
    <xf numFmtId="3" fontId="5" fillId="50" borderId="20" xfId="155" applyNumberFormat="1" applyFont="1" applyFill="1" applyBorder="1" applyAlignment="1" applyProtection="1">
      <alignment horizontal="center" vertical="center"/>
      <protection/>
    </xf>
    <xf numFmtId="3" fontId="5" fillId="50" borderId="21" xfId="0" applyNumberFormat="1" applyFont="1" applyFill="1" applyBorder="1" applyAlignment="1" applyProtection="1">
      <alignment horizontal="center" vertical="center"/>
      <protection/>
    </xf>
    <xf numFmtId="3" fontId="5" fillId="50" borderId="21" xfId="155" applyNumberFormat="1" applyFont="1" applyFill="1" applyBorder="1" applyAlignment="1" applyProtection="1">
      <alignment horizontal="center" vertical="center"/>
      <protection/>
    </xf>
    <xf numFmtId="49" fontId="5" fillId="50" borderId="20" xfId="0" applyNumberFormat="1" applyFont="1" applyFill="1" applyBorder="1" applyAlignment="1" applyProtection="1">
      <alignment horizontal="center" vertical="center"/>
      <protection/>
    </xf>
    <xf numFmtId="1" fontId="5" fillId="47" borderId="20" xfId="0" applyNumberFormat="1" applyFont="1" applyFill="1" applyBorder="1" applyAlignment="1" applyProtection="1">
      <alignment horizontal="center" vertical="center"/>
      <protection/>
    </xf>
    <xf numFmtId="194" fontId="5" fillId="50" borderId="20" xfId="0" applyNumberFormat="1" applyFont="1" applyFill="1" applyBorder="1" applyAlignment="1">
      <alignment horizontal="right" vertical="center"/>
    </xf>
    <xf numFmtId="1" fontId="5" fillId="47" borderId="20" xfId="155" applyNumberFormat="1" applyFont="1" applyFill="1" applyBorder="1" applyAlignment="1" applyProtection="1">
      <alignment horizontal="center" vertical="center"/>
      <protection/>
    </xf>
    <xf numFmtId="1" fontId="5" fillId="47" borderId="20" xfId="0" applyNumberFormat="1" applyFont="1" applyFill="1" applyBorder="1" applyAlignment="1">
      <alignment horizontal="center" vertical="center"/>
    </xf>
    <xf numFmtId="49" fontId="4" fillId="50" borderId="26" xfId="135" applyNumberFormat="1" applyFont="1" applyFill="1" applyBorder="1" applyAlignment="1" applyProtection="1">
      <alignment vertical="center"/>
      <protection/>
    </xf>
    <xf numFmtId="194" fontId="5" fillId="50" borderId="20" xfId="135" applyNumberFormat="1" applyFont="1" applyFill="1" applyBorder="1" applyAlignment="1" applyProtection="1">
      <alignment horizontal="right" vertical="center"/>
      <protection/>
    </xf>
    <xf numFmtId="0" fontId="4" fillId="50" borderId="26" xfId="135" applyFont="1" applyFill="1" applyBorder="1" applyAlignment="1">
      <alignment vertical="center"/>
      <protection/>
    </xf>
    <xf numFmtId="49" fontId="4" fillId="50" borderId="26" xfId="135" applyNumberFormat="1" applyFont="1" applyFill="1" applyBorder="1" applyAlignment="1">
      <alignment vertical="center"/>
      <protection/>
    </xf>
    <xf numFmtId="1" fontId="5" fillId="50" borderId="20" xfId="0" applyNumberFormat="1" applyFont="1" applyFill="1" applyBorder="1" applyAlignment="1" applyProtection="1">
      <alignment horizontal="center" vertical="center"/>
      <protection/>
    </xf>
    <xf numFmtId="0" fontId="4" fillId="50" borderId="26" xfId="0" applyNumberFormat="1" applyFont="1" applyFill="1" applyBorder="1" applyAlignment="1" applyProtection="1">
      <alignment vertical="center"/>
      <protection/>
    </xf>
    <xf numFmtId="194" fontId="152" fillId="50" borderId="20" xfId="0" applyNumberFormat="1" applyFont="1" applyFill="1" applyBorder="1" applyAlignment="1" applyProtection="1">
      <alignment horizontal="right" vertical="center"/>
      <protection/>
    </xf>
    <xf numFmtId="210" fontId="152" fillId="50" borderId="20" xfId="0" applyNumberFormat="1" applyFont="1" applyFill="1" applyBorder="1" applyAlignment="1">
      <alignment horizontal="right" vertical="center"/>
    </xf>
    <xf numFmtId="49" fontId="152" fillId="50" borderId="20" xfId="0" applyNumberFormat="1" applyFont="1" applyFill="1" applyBorder="1" applyAlignment="1" applyProtection="1">
      <alignment horizontal="center" vertical="center"/>
      <protection/>
    </xf>
    <xf numFmtId="49" fontId="152" fillId="50" borderId="20" xfId="0" applyNumberFormat="1" applyFont="1" applyFill="1" applyBorder="1" applyAlignment="1" applyProtection="1">
      <alignment vertical="center"/>
      <protection/>
    </xf>
    <xf numFmtId="194" fontId="8" fillId="50" borderId="20" xfId="0" applyNumberFormat="1" applyFont="1" applyFill="1" applyBorder="1" applyAlignment="1" applyProtection="1">
      <alignment horizontal="right" vertical="center"/>
      <protection/>
    </xf>
    <xf numFmtId="194" fontId="152" fillId="50" borderId="20" xfId="0" applyNumberFormat="1" applyFont="1" applyFill="1" applyBorder="1" applyAlignment="1">
      <alignment horizontal="right"/>
    </xf>
    <xf numFmtId="210" fontId="8" fillId="50" borderId="20" xfId="0" applyNumberFormat="1" applyFont="1" applyFill="1" applyBorder="1" applyAlignment="1">
      <alignment horizontal="right" vertical="center"/>
    </xf>
    <xf numFmtId="49" fontId="8" fillId="50" borderId="20" xfId="0" applyNumberFormat="1" applyFont="1" applyFill="1" applyBorder="1" applyAlignment="1">
      <alignment vertical="center"/>
    </xf>
    <xf numFmtId="3" fontId="8" fillId="50" borderId="21" xfId="0" applyNumberFormat="1" applyFont="1" applyFill="1" applyBorder="1" applyAlignment="1" applyProtection="1">
      <alignment horizontal="center" vertical="center"/>
      <protection/>
    </xf>
    <xf numFmtId="43" fontId="8" fillId="50" borderId="20" xfId="99" applyFont="1" applyFill="1" applyBorder="1" applyAlignment="1" applyProtection="1">
      <alignment horizontal="right" vertical="center"/>
      <protection/>
    </xf>
    <xf numFmtId="194" fontId="152" fillId="50" borderId="20" xfId="0" applyNumberFormat="1" applyFont="1" applyFill="1" applyBorder="1" applyAlignment="1">
      <alignment horizontal="right" vertical="center"/>
    </xf>
    <xf numFmtId="3" fontId="8" fillId="0" borderId="20" xfId="142" applyNumberFormat="1" applyFont="1" applyFill="1" applyBorder="1" applyAlignment="1" applyProtection="1">
      <alignment horizontal="center" vertical="center"/>
      <protection/>
    </xf>
    <xf numFmtId="3" fontId="24" fillId="50" borderId="20" xfId="0" applyNumberFormat="1" applyFont="1" applyFill="1" applyBorder="1" applyAlignment="1" applyProtection="1">
      <alignment horizontal="center" vertical="center"/>
      <protection/>
    </xf>
    <xf numFmtId="41" fontId="8" fillId="47" borderId="20" xfId="0" applyNumberFormat="1" applyFont="1" applyFill="1" applyBorder="1" applyAlignment="1" applyProtection="1">
      <alignment horizontal="center" vertical="center"/>
      <protection/>
    </xf>
    <xf numFmtId="194" fontId="100" fillId="47" borderId="20" xfId="99" applyNumberFormat="1" applyFont="1" applyFill="1" applyBorder="1" applyAlignment="1" applyProtection="1">
      <alignment horizontal="center" vertical="center"/>
      <protection/>
    </xf>
    <xf numFmtId="0" fontId="18" fillId="49" borderId="38" xfId="0" applyFont="1" applyFill="1" applyBorder="1" applyAlignment="1">
      <alignment/>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14" fillId="50" borderId="0" xfId="0" applyNumberFormat="1" applyFont="1" applyFill="1" applyBorder="1" applyAlignment="1">
      <alignment horizontal="center" wrapText="1"/>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49" fontId="24" fillId="47" borderId="20" xfId="0" applyNumberFormat="1" applyFont="1" applyFill="1" applyBorder="1" applyAlignment="1" applyProtection="1">
      <alignment vertical="center"/>
      <protection/>
    </xf>
    <xf numFmtId="49" fontId="24" fillId="50" borderId="20" xfId="0" applyNumberFormat="1" applyFont="1" applyFill="1" applyBorder="1" applyAlignment="1" applyProtection="1">
      <alignment horizontal="center" vertical="center"/>
      <protection/>
    </xf>
    <xf numFmtId="49" fontId="24" fillId="47" borderId="0" xfId="0" applyNumberFormat="1" applyFont="1" applyFill="1" applyAlignment="1">
      <alignment/>
    </xf>
    <xf numFmtId="49" fontId="153" fillId="50" borderId="20" xfId="0" applyNumberFormat="1" applyFont="1" applyFill="1" applyBorder="1" applyAlignment="1" applyProtection="1">
      <alignment vertical="center"/>
      <protection/>
    </xf>
    <xf numFmtId="49" fontId="153" fillId="47" borderId="20" xfId="0" applyNumberFormat="1" applyFont="1" applyFill="1" applyBorder="1" applyAlignment="1" applyProtection="1">
      <alignment horizontal="center" vertical="center"/>
      <protection/>
    </xf>
    <xf numFmtId="49" fontId="24" fillId="50" borderId="20" xfId="0" applyNumberFormat="1" applyFont="1" applyFill="1" applyBorder="1" applyAlignment="1" applyProtection="1">
      <alignment vertical="center"/>
      <protection/>
    </xf>
    <xf numFmtId="49" fontId="153" fillId="50" borderId="20" xfId="0" applyNumberFormat="1" applyFont="1" applyFill="1" applyBorder="1" applyAlignment="1" applyProtection="1">
      <alignment horizontal="center" vertical="center"/>
      <protection/>
    </xf>
    <xf numFmtId="49" fontId="154" fillId="50" borderId="20" xfId="0" applyNumberFormat="1" applyFont="1" applyFill="1" applyBorder="1" applyAlignment="1" applyProtection="1">
      <alignment horizontal="center" vertical="center"/>
      <protection/>
    </xf>
    <xf numFmtId="49" fontId="3" fillId="50" borderId="0" xfId="0" applyNumberFormat="1" applyFont="1" applyFill="1" applyAlignment="1">
      <alignment/>
    </xf>
    <xf numFmtId="49" fontId="0" fillId="50" borderId="0" xfId="0" applyNumberFormat="1" applyFont="1" applyFill="1" applyAlignment="1">
      <alignment horizontal="center"/>
    </xf>
    <xf numFmtId="0" fontId="4" fillId="50" borderId="0" xfId="0" applyNumberFormat="1" applyFont="1" applyFill="1" applyAlignment="1">
      <alignment wrapText="1"/>
    </xf>
    <xf numFmtId="0" fontId="0" fillId="50" borderId="0" xfId="0" applyNumberFormat="1" applyFont="1" applyFill="1" applyAlignment="1">
      <alignment/>
    </xf>
    <xf numFmtId="0" fontId="14" fillId="50" borderId="0" xfId="0" applyNumberFormat="1" applyFont="1" applyFill="1" applyBorder="1" applyAlignment="1">
      <alignment horizontal="center" wrapText="1"/>
    </xf>
    <xf numFmtId="49" fontId="155" fillId="50" borderId="20" xfId="0" applyNumberFormat="1" applyFont="1" applyFill="1" applyBorder="1" applyAlignment="1" applyProtection="1">
      <alignment horizontal="center" vertical="center"/>
      <protection/>
    </xf>
    <xf numFmtId="3" fontId="4" fillId="0" borderId="0" xfId="0" applyNumberFormat="1" applyFont="1" applyFill="1" applyAlignment="1">
      <alignment/>
    </xf>
    <xf numFmtId="0" fontId="0" fillId="50" borderId="0" xfId="0" applyNumberFormat="1" applyFont="1" applyFill="1" applyBorder="1" applyAlignment="1">
      <alignment/>
    </xf>
    <xf numFmtId="0" fontId="0" fillId="50" borderId="0" xfId="0" applyNumberFormat="1" applyFont="1" applyFill="1" applyBorder="1" applyAlignment="1">
      <alignment wrapText="1"/>
    </xf>
    <xf numFmtId="0" fontId="14" fillId="50" borderId="0" xfId="0" applyNumberFormat="1" applyFont="1" applyFill="1" applyBorder="1" applyAlignment="1">
      <alignment horizontal="center" vertical="center"/>
    </xf>
    <xf numFmtId="49" fontId="14" fillId="50" borderId="0" xfId="0" applyNumberFormat="1" applyFont="1" applyFill="1" applyBorder="1" applyAlignment="1">
      <alignment horizontal="center" vertical="center"/>
    </xf>
    <xf numFmtId="0" fontId="3" fillId="50" borderId="0" xfId="0" applyNumberFormat="1" applyFont="1" applyFill="1" applyAlignment="1">
      <alignment horizontal="center"/>
    </xf>
    <xf numFmtId="0" fontId="23" fillId="50" borderId="0" xfId="0" applyNumberFormat="1" applyFont="1" applyFill="1" applyBorder="1" applyAlignment="1">
      <alignment horizontal="center" vertical="center"/>
    </xf>
    <xf numFmtId="49" fontId="0" fillId="50" borderId="0" xfId="0" applyNumberFormat="1" applyFont="1" applyFill="1" applyBorder="1" applyAlignment="1">
      <alignment/>
    </xf>
    <xf numFmtId="49" fontId="0" fillId="50" borderId="0" xfId="0" applyNumberFormat="1" applyFont="1" applyFill="1" applyBorder="1" applyAlignment="1">
      <alignment wrapText="1"/>
    </xf>
    <xf numFmtId="3" fontId="18" fillId="50" borderId="0" xfId="0" applyNumberFormat="1" applyFont="1" applyFill="1" applyBorder="1" applyAlignment="1">
      <alignment horizontal="center" vertical="center"/>
    </xf>
    <xf numFmtId="194" fontId="152" fillId="50" borderId="20" xfId="0" applyNumberFormat="1" applyFont="1" applyFill="1" applyBorder="1" applyAlignment="1" applyProtection="1">
      <alignment horizontal="center" vertical="center"/>
      <protection/>
    </xf>
    <xf numFmtId="210" fontId="152" fillId="50" borderId="20" xfId="0" applyNumberFormat="1" applyFont="1" applyFill="1" applyBorder="1" applyAlignment="1">
      <alignment horizontal="center" vertical="center"/>
    </xf>
    <xf numFmtId="10" fontId="8" fillId="0" borderId="20" xfId="155" applyNumberFormat="1" applyFont="1" applyFill="1" applyBorder="1" applyAlignment="1">
      <alignment/>
    </xf>
    <xf numFmtId="3" fontId="8" fillId="0" borderId="20" xfId="134" applyNumberFormat="1" applyFont="1" applyFill="1" applyBorder="1">
      <alignment/>
      <protection/>
    </xf>
    <xf numFmtId="194" fontId="8" fillId="50" borderId="20" xfId="0" applyNumberFormat="1" applyFont="1" applyFill="1" applyBorder="1" applyAlignment="1" applyProtection="1">
      <alignment horizontal="center" vertical="center"/>
      <protection/>
    </xf>
    <xf numFmtId="210" fontId="8" fillId="50" borderId="20" xfId="0" applyNumberFormat="1" applyFont="1" applyFill="1" applyBorder="1" applyAlignment="1">
      <alignment horizontal="center" vertical="center"/>
    </xf>
    <xf numFmtId="10" fontId="152" fillId="0" borderId="20" xfId="155" applyNumberFormat="1" applyFont="1" applyFill="1" applyBorder="1" applyAlignment="1">
      <alignment/>
    </xf>
    <xf numFmtId="3" fontId="152" fillId="0" borderId="20" xfId="134" applyNumberFormat="1" applyFont="1" applyFill="1" applyBorder="1">
      <alignment/>
      <protection/>
    </xf>
    <xf numFmtId="49" fontId="18" fillId="50" borderId="0" xfId="0" applyNumberFormat="1" applyFont="1" applyFill="1" applyBorder="1" applyAlignment="1">
      <alignment/>
    </xf>
    <xf numFmtId="49" fontId="5" fillId="47" borderId="20" xfId="0" applyNumberFormat="1" applyFont="1" applyFill="1" applyBorder="1" applyAlignment="1" applyProtection="1">
      <alignment/>
      <protection/>
    </xf>
    <xf numFmtId="194" fontId="8" fillId="0" borderId="0" xfId="0" applyNumberFormat="1" applyFont="1" applyFill="1" applyAlignment="1">
      <alignment/>
    </xf>
    <xf numFmtId="41" fontId="5" fillId="47" borderId="20" xfId="0" applyNumberFormat="1" applyFont="1" applyFill="1" applyBorder="1" applyAlignment="1" applyProtection="1">
      <alignment horizontal="center" vertical="center"/>
      <protection/>
    </xf>
    <xf numFmtId="194" fontId="106" fillId="50" borderId="20" xfId="0" applyNumberFormat="1" applyFont="1" applyFill="1" applyBorder="1" applyAlignment="1" applyProtection="1">
      <alignment horizontal="center" vertical="center"/>
      <protection/>
    </xf>
    <xf numFmtId="210" fontId="106" fillId="50" borderId="20" xfId="0" applyNumberFormat="1" applyFont="1" applyFill="1" applyBorder="1" applyAlignment="1">
      <alignment horizontal="center" vertical="center"/>
    </xf>
    <xf numFmtId="10" fontId="106" fillId="0" borderId="20" xfId="155" applyNumberFormat="1" applyFont="1" applyFill="1" applyBorder="1" applyAlignment="1">
      <alignment/>
    </xf>
    <xf numFmtId="3" fontId="106" fillId="0" borderId="20" xfId="134" applyNumberFormat="1" applyFont="1" applyFill="1" applyBorder="1">
      <alignment/>
      <protection/>
    </xf>
    <xf numFmtId="49" fontId="106" fillId="50" borderId="20" xfId="0" applyNumberFormat="1" applyFont="1" applyFill="1" applyBorder="1" applyAlignment="1" applyProtection="1">
      <alignment horizontal="center" vertical="center"/>
      <protection/>
    </xf>
    <xf numFmtId="49" fontId="106" fillId="50" borderId="20" xfId="0" applyNumberFormat="1" applyFont="1" applyFill="1" applyBorder="1" applyAlignment="1" applyProtection="1">
      <alignment vertical="center"/>
      <protection/>
    </xf>
    <xf numFmtId="49" fontId="106" fillId="47" borderId="20" xfId="0" applyNumberFormat="1" applyFont="1" applyFill="1" applyBorder="1" applyAlignment="1">
      <alignment/>
    </xf>
    <xf numFmtId="3" fontId="5" fillId="47" borderId="20" xfId="0" applyNumberFormat="1" applyFont="1" applyFill="1" applyBorder="1" applyAlignment="1">
      <alignment horizontal="center"/>
    </xf>
    <xf numFmtId="194" fontId="8" fillId="50" borderId="20" xfId="99" applyNumberFormat="1" applyFont="1" applyFill="1" applyBorder="1" applyAlignment="1" applyProtection="1">
      <alignment horizontal="left" vertical="center"/>
      <protection/>
    </xf>
    <xf numFmtId="37" fontId="8" fillId="50" borderId="20" xfId="99" applyNumberFormat="1" applyFont="1" applyFill="1" applyBorder="1" applyAlignment="1" applyProtection="1">
      <alignment horizontal="center" vertical="center"/>
      <protection/>
    </xf>
    <xf numFmtId="3" fontId="5" fillId="50" borderId="20" xfId="0" applyNumberFormat="1" applyFont="1" applyFill="1" applyBorder="1" applyAlignment="1">
      <alignment horizontal="center"/>
    </xf>
    <xf numFmtId="3" fontId="5" fillId="50" borderId="21" xfId="0" applyNumberFormat="1" applyFont="1" applyFill="1" applyBorder="1" applyAlignment="1">
      <alignment horizontal="center"/>
    </xf>
    <xf numFmtId="194" fontId="5" fillId="50" borderId="20" xfId="0" applyNumberFormat="1" applyFont="1" applyFill="1" applyBorder="1" applyAlignment="1" applyProtection="1">
      <alignment horizontal="right" vertical="center"/>
      <protection/>
    </xf>
    <xf numFmtId="194" fontId="5" fillId="0" borderId="20" xfId="99" applyNumberFormat="1" applyFont="1" applyBorder="1" applyAlignment="1" applyProtection="1">
      <alignment/>
      <protection locked="0"/>
    </xf>
    <xf numFmtId="3" fontId="8" fillId="0" borderId="20" xfId="142" applyNumberFormat="1" applyFont="1" applyFill="1" applyBorder="1" applyAlignment="1" applyProtection="1">
      <alignment horizontal="center" vertical="center"/>
      <protection locked="0"/>
    </xf>
    <xf numFmtId="1" fontId="5" fillId="47" borderId="21" xfId="0" applyNumberFormat="1" applyFont="1" applyFill="1" applyBorder="1" applyAlignment="1" applyProtection="1">
      <alignment horizontal="center" vertical="center"/>
      <protection/>
    </xf>
    <xf numFmtId="1" fontId="156" fillId="47" borderId="20" xfId="0" applyNumberFormat="1" applyFont="1" applyFill="1" applyBorder="1" applyAlignment="1" applyProtection="1">
      <alignment horizontal="center" vertical="center"/>
      <protection/>
    </xf>
    <xf numFmtId="49" fontId="156" fillId="47" borderId="20" xfId="0" applyNumberFormat="1" applyFont="1" applyFill="1" applyBorder="1" applyAlignment="1" applyProtection="1">
      <alignment horizontal="center" vertical="center"/>
      <protection/>
    </xf>
    <xf numFmtId="1" fontId="108" fillId="47" borderId="20" xfId="152" applyNumberFormat="1" applyFont="1" applyFill="1" applyBorder="1" applyAlignment="1" applyProtection="1">
      <alignment horizontal="center" vertical="center"/>
      <protection/>
    </xf>
    <xf numFmtId="1" fontId="156" fillId="47" borderId="20" xfId="0" applyNumberFormat="1" applyFont="1" applyFill="1" applyBorder="1" applyAlignment="1">
      <alignment horizontal="center"/>
    </xf>
    <xf numFmtId="49" fontId="108" fillId="47" borderId="20" xfId="152" applyNumberFormat="1" applyFont="1" applyFill="1" applyBorder="1" applyAlignment="1" applyProtection="1">
      <alignment horizontal="center" vertical="center"/>
      <protection/>
    </xf>
    <xf numFmtId="49" fontId="156" fillId="47" borderId="20" xfId="0" applyNumberFormat="1" applyFont="1" applyFill="1" applyBorder="1" applyAlignment="1">
      <alignment horizontal="center"/>
    </xf>
    <xf numFmtId="49" fontId="156" fillId="47" borderId="20" xfId="152" applyNumberFormat="1" applyFont="1" applyFill="1" applyBorder="1" applyAlignment="1" applyProtection="1">
      <alignment horizontal="right" vertical="center"/>
      <protection/>
    </xf>
    <xf numFmtId="194" fontId="8" fillId="47" borderId="20" xfId="96" applyNumberFormat="1" applyFont="1" applyFill="1" applyBorder="1" applyAlignment="1" applyProtection="1">
      <alignment horizontal="right" vertical="center"/>
      <protection/>
    </xf>
    <xf numFmtId="37" fontId="8" fillId="47" borderId="20" xfId="96" applyNumberFormat="1" applyFont="1" applyFill="1" applyBorder="1" applyAlignment="1" applyProtection="1">
      <alignment horizontal="right" vertical="center"/>
      <protection/>
    </xf>
    <xf numFmtId="1" fontId="8" fillId="47" borderId="20" xfId="0" applyNumberFormat="1" applyFont="1" applyFill="1" applyBorder="1" applyAlignment="1" applyProtection="1">
      <alignment horizontal="right" vertical="center"/>
      <protection/>
    </xf>
    <xf numFmtId="194" fontId="8" fillId="47" borderId="20" xfId="96" applyNumberFormat="1" applyFont="1" applyFill="1" applyBorder="1" applyAlignment="1">
      <alignment horizontal="right"/>
    </xf>
    <xf numFmtId="49" fontId="8" fillId="47" borderId="20" xfId="0" applyNumberFormat="1" applyFont="1" applyFill="1" applyBorder="1" applyAlignment="1" applyProtection="1">
      <alignment horizontal="right" vertical="center"/>
      <protection/>
    </xf>
    <xf numFmtId="49" fontId="8" fillId="47" borderId="20" xfId="152" applyNumberFormat="1" applyFont="1" applyFill="1" applyBorder="1" applyAlignment="1" applyProtection="1">
      <alignment horizontal="right" vertical="center"/>
      <protection/>
    </xf>
    <xf numFmtId="49" fontId="8" fillId="47" borderId="20" xfId="0" applyNumberFormat="1" applyFont="1" applyFill="1" applyBorder="1" applyAlignment="1">
      <alignment horizontal="right"/>
    </xf>
    <xf numFmtId="41" fontId="8" fillId="47" borderId="20" xfId="96" applyNumberFormat="1" applyFont="1" applyFill="1" applyBorder="1" applyAlignment="1" applyProtection="1">
      <alignment horizontal="right" vertical="center"/>
      <protection/>
    </xf>
    <xf numFmtId="194" fontId="0" fillId="47" borderId="20" xfId="0" applyNumberFormat="1" applyFont="1" applyFill="1" applyBorder="1" applyAlignment="1" applyProtection="1">
      <alignment horizontal="right" vertical="center"/>
      <protection/>
    </xf>
    <xf numFmtId="194" fontId="18" fillId="47" borderId="20" xfId="0" applyNumberFormat="1" applyFont="1" applyFill="1" applyBorder="1" applyAlignment="1" applyProtection="1">
      <alignment horizontal="right" vertical="center"/>
      <protection/>
    </xf>
    <xf numFmtId="49" fontId="8" fillId="47" borderId="20" xfId="0" applyNumberFormat="1" applyFont="1" applyFill="1" applyBorder="1" applyAlignment="1" applyProtection="1">
      <alignment/>
      <protection/>
    </xf>
    <xf numFmtId="49" fontId="107" fillId="50" borderId="21" xfId="0" applyNumberFormat="1" applyFont="1" applyFill="1" applyBorder="1" applyAlignment="1">
      <alignment horizontal="center" vertical="center" wrapText="1"/>
    </xf>
    <xf numFmtId="49" fontId="107" fillId="50" borderId="23" xfId="0" applyNumberFormat="1" applyFont="1" applyFill="1" applyBorder="1" applyAlignment="1">
      <alignment horizontal="center" vertical="center" wrapText="1"/>
    </xf>
    <xf numFmtId="41" fontId="4" fillId="47" borderId="20" xfId="0" applyNumberFormat="1" applyFont="1" applyFill="1" applyBorder="1" applyAlignment="1" applyProtection="1">
      <alignment horizontal="center" vertical="center"/>
      <protection/>
    </xf>
    <xf numFmtId="194" fontId="109" fillId="47" borderId="20" xfId="99" applyNumberFormat="1" applyFont="1" applyFill="1" applyBorder="1" applyAlignment="1">
      <alignment horizontal="center"/>
    </xf>
    <xf numFmtId="49" fontId="157" fillId="0" borderId="0" xfId="0" applyNumberFormat="1" applyFont="1" applyFill="1" applyAlignment="1">
      <alignment/>
    </xf>
    <xf numFmtId="49" fontId="150" fillId="0" borderId="0" xfId="0" applyNumberFormat="1" applyFont="1" applyFill="1" applyAlignment="1">
      <alignment/>
    </xf>
    <xf numFmtId="49" fontId="5" fillId="0" borderId="0" xfId="0" applyNumberFormat="1" applyFont="1" applyFill="1" applyAlignment="1">
      <alignment/>
    </xf>
    <xf numFmtId="3" fontId="100" fillId="50" borderId="20" xfId="0" applyNumberFormat="1" applyFont="1" applyFill="1" applyBorder="1" applyAlignment="1" applyProtection="1">
      <alignment horizontal="center" vertical="center"/>
      <protection/>
    </xf>
    <xf numFmtId="3" fontId="100" fillId="50" borderId="21" xfId="0" applyNumberFormat="1" applyFont="1" applyFill="1" applyBorder="1" applyAlignment="1" applyProtection="1">
      <alignment horizontal="center" vertical="center"/>
      <protection/>
    </xf>
    <xf numFmtId="3" fontId="100" fillId="50" borderId="20" xfId="155" applyNumberFormat="1" applyFont="1" applyFill="1" applyBorder="1" applyAlignment="1" applyProtection="1">
      <alignment horizontal="center" vertical="center"/>
      <protection/>
    </xf>
    <xf numFmtId="3" fontId="100" fillId="50" borderId="20" xfId="0" applyNumberFormat="1" applyFont="1" applyFill="1" applyBorder="1" applyAlignment="1">
      <alignment horizontal="center"/>
    </xf>
    <xf numFmtId="3" fontId="100" fillId="50" borderId="21" xfId="155" applyNumberFormat="1" applyFont="1" applyFill="1" applyBorder="1" applyAlignment="1" applyProtection="1">
      <alignment horizontal="center" vertical="center"/>
      <protection/>
    </xf>
    <xf numFmtId="3" fontId="100" fillId="50" borderId="21" xfId="0" applyNumberFormat="1" applyFont="1" applyFill="1" applyBorder="1" applyAlignment="1">
      <alignment horizontal="center"/>
    </xf>
    <xf numFmtId="49" fontId="5" fillId="50" borderId="0" xfId="0" applyNumberFormat="1" applyFont="1" applyFill="1" applyAlignment="1">
      <alignment/>
    </xf>
    <xf numFmtId="49" fontId="5" fillId="50" borderId="0" xfId="0" applyNumberFormat="1" applyFont="1" applyFill="1" applyAlignment="1">
      <alignment/>
    </xf>
    <xf numFmtId="0" fontId="23" fillId="50" borderId="19" xfId="0" applyNumberFormat="1" applyFont="1" applyFill="1" applyBorder="1" applyAlignment="1">
      <alignment vertical="center"/>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43" applyNumberFormat="1" applyFont="1" applyBorder="1" applyAlignment="1">
      <alignment horizontal="center" wrapText="1"/>
      <protection/>
    </xf>
    <xf numFmtId="49" fontId="64" fillId="0" borderId="0" xfId="143" applyNumberFormat="1" applyFont="1" applyBorder="1" applyAlignment="1">
      <alignment horizontal="center" wrapText="1"/>
      <protection/>
    </xf>
    <xf numFmtId="49" fontId="39" fillId="0" borderId="0" xfId="143" applyNumberFormat="1" applyFont="1" applyBorder="1" applyAlignment="1">
      <alignment horizontal="center" wrapText="1"/>
      <protection/>
    </xf>
    <xf numFmtId="49" fontId="7" fillId="0" borderId="26" xfId="143" applyNumberFormat="1" applyFont="1" applyBorder="1" applyAlignment="1">
      <alignment horizontal="center" vertical="center" wrapText="1"/>
      <protection/>
    </xf>
    <xf numFmtId="49" fontId="7" fillId="0" borderId="41" xfId="143" applyNumberFormat="1" applyFont="1" applyBorder="1" applyAlignment="1">
      <alignment horizontal="center" vertical="center" wrapText="1"/>
      <protection/>
    </xf>
    <xf numFmtId="49" fontId="7" fillId="0" borderId="25" xfId="143" applyNumberFormat="1" applyFont="1" applyBorder="1" applyAlignment="1">
      <alignment horizontal="center" vertical="center" wrapText="1"/>
      <protection/>
    </xf>
    <xf numFmtId="49" fontId="7" fillId="0" borderId="26" xfId="143" applyNumberFormat="1" applyFont="1" applyFill="1" applyBorder="1" applyAlignment="1">
      <alignment horizontal="center" vertical="center" wrapText="1"/>
      <protection/>
    </xf>
    <xf numFmtId="49" fontId="27" fillId="0" borderId="25" xfId="143" applyNumberFormat="1" applyFont="1" applyFill="1" applyBorder="1" applyAlignment="1">
      <alignment horizontal="center" vertical="center" wrapText="1"/>
      <protection/>
    </xf>
    <xf numFmtId="49" fontId="0" fillId="3" borderId="35" xfId="143" applyNumberFormat="1" applyFont="1" applyFill="1" applyBorder="1" applyAlignment="1">
      <alignment horizontal="center"/>
      <protection/>
    </xf>
    <xf numFmtId="49" fontId="0" fillId="3" borderId="19" xfId="143" applyNumberFormat="1" applyFont="1" applyFill="1" applyBorder="1" applyAlignment="1">
      <alignment horizontal="center"/>
      <protection/>
    </xf>
    <xf numFmtId="49" fontId="0" fillId="3" borderId="36" xfId="143" applyNumberFormat="1" applyFont="1" applyFill="1" applyBorder="1" applyAlignment="1">
      <alignment horizontal="center"/>
      <protection/>
    </xf>
    <xf numFmtId="3" fontId="33" fillId="47" borderId="38" xfId="143" applyNumberFormat="1" applyFont="1" applyFill="1" applyBorder="1" applyAlignment="1" applyProtection="1">
      <alignment horizontal="center" vertical="center" wrapText="1"/>
      <protection/>
    </xf>
    <xf numFmtId="3" fontId="33" fillId="47" borderId="23" xfId="143" applyNumberFormat="1" applyFont="1" applyFill="1" applyBorder="1" applyAlignment="1" applyProtection="1">
      <alignment horizontal="center" vertical="center" wrapText="1"/>
      <protection/>
    </xf>
    <xf numFmtId="49" fontId="7" fillId="0" borderId="20" xfId="143" applyNumberFormat="1" applyFont="1" applyFill="1" applyBorder="1" applyAlignment="1" applyProtection="1">
      <alignment horizontal="center" vertical="center" wrapText="1"/>
      <protection/>
    </xf>
    <xf numFmtId="3" fontId="7" fillId="47" borderId="21" xfId="143" applyNumberFormat="1" applyFont="1" applyFill="1" applyBorder="1" applyAlignment="1" applyProtection="1">
      <alignment horizontal="center" vertical="center" wrapText="1"/>
      <protection/>
    </xf>
    <xf numFmtId="3" fontId="7" fillId="47" borderId="23" xfId="143" applyNumberFormat="1" applyFont="1" applyFill="1" applyBorder="1" applyAlignment="1" applyProtection="1">
      <alignment horizontal="center" vertical="center" wrapText="1"/>
      <protection/>
    </xf>
    <xf numFmtId="49" fontId="0" fillId="0" borderId="0" xfId="143" applyNumberFormat="1" applyFont="1" applyAlignment="1">
      <alignment horizontal="left"/>
      <protection/>
    </xf>
    <xf numFmtId="49" fontId="32" fillId="0" borderId="0" xfId="143" applyNumberFormat="1" applyFont="1" applyAlignment="1">
      <alignment horizontal="center"/>
      <protection/>
    </xf>
    <xf numFmtId="49" fontId="28" fillId="0" borderId="0" xfId="143" applyNumberFormat="1" applyFont="1" applyAlignment="1">
      <alignment horizontal="center" wrapText="1"/>
      <protection/>
    </xf>
    <xf numFmtId="49" fontId="25" fillId="0" borderId="0" xfId="143" applyNumberFormat="1" applyFont="1" applyAlignment="1">
      <alignment horizontal="center"/>
      <protection/>
    </xf>
    <xf numFmtId="0" fontId="16" fillId="0" borderId="20" xfId="143" applyNumberFormat="1" applyFont="1" applyBorder="1" applyAlignment="1">
      <alignment horizontal="center" vertical="center" wrapText="1"/>
      <protection/>
    </xf>
    <xf numFmtId="49" fontId="30" fillId="0" borderId="0" xfId="143" applyNumberFormat="1" applyFont="1" applyBorder="1" applyAlignment="1">
      <alignment horizontal="center" wrapText="1"/>
      <protection/>
    </xf>
    <xf numFmtId="0" fontId="54" fillId="3" borderId="26" xfId="143" applyNumberFormat="1" applyFont="1" applyFill="1" applyBorder="1" applyAlignment="1">
      <alignment horizontal="center" vertical="center" wrapText="1"/>
      <protection/>
    </xf>
    <xf numFmtId="0" fontId="54" fillId="3" borderId="25" xfId="143" applyNumberFormat="1" applyFont="1" applyFill="1" applyBorder="1" applyAlignment="1">
      <alignment horizontal="center" vertical="center" wrapText="1"/>
      <protection/>
    </xf>
    <xf numFmtId="49" fontId="3" fillId="0" borderId="0" xfId="143" applyNumberFormat="1" applyFont="1" applyBorder="1" applyAlignment="1">
      <alignment horizontal="left" wrapText="1"/>
      <protection/>
    </xf>
    <xf numFmtId="49" fontId="0" fillId="0" borderId="0" xfId="143" applyNumberFormat="1" applyFont="1" applyBorder="1" applyAlignment="1">
      <alignment horizontal="left" wrapText="1"/>
      <protection/>
    </xf>
    <xf numFmtId="49" fontId="18" fillId="0" borderId="22" xfId="143" applyNumberFormat="1" applyFont="1" applyFill="1" applyBorder="1" applyAlignment="1">
      <alignment horizontal="center" vertical="center"/>
      <protection/>
    </xf>
    <xf numFmtId="49" fontId="7" fillId="0" borderId="20" xfId="143" applyNumberFormat="1" applyFont="1" applyFill="1" applyBorder="1" applyAlignment="1">
      <alignment horizontal="center" vertical="center" wrapText="1"/>
      <protection/>
    </xf>
    <xf numFmtId="49" fontId="18" fillId="0" borderId="0" xfId="143" applyNumberFormat="1" applyFont="1" applyAlignment="1">
      <alignment horizontal="left"/>
      <protection/>
    </xf>
    <xf numFmtId="49" fontId="14" fillId="47" borderId="0" xfId="143" applyNumberFormat="1" applyFont="1" applyFill="1" applyAlignment="1">
      <alignment horizontal="center" vertical="center" wrapText="1"/>
      <protection/>
    </xf>
    <xf numFmtId="49" fontId="3" fillId="0" borderId="0" xfId="143" applyNumberFormat="1" applyFont="1" applyAlignment="1">
      <alignment horizontal="left"/>
      <protection/>
    </xf>
    <xf numFmtId="0" fontId="25" fillId="0" borderId="0" xfId="143" applyFont="1" applyAlignment="1">
      <alignment horizontal="center"/>
      <protection/>
    </xf>
    <xf numFmtId="49" fontId="25" fillId="47" borderId="0" xfId="143" applyNumberFormat="1" applyFont="1" applyFill="1" applyAlignment="1">
      <alignment horizontal="center"/>
      <protection/>
    </xf>
    <xf numFmtId="49" fontId="7" fillId="0" borderId="25" xfId="143" applyNumberFormat="1" applyFont="1" applyFill="1" applyBorder="1" applyAlignment="1">
      <alignment horizontal="center" vertical="center" wrapText="1"/>
      <protection/>
    </xf>
    <xf numFmtId="0" fontId="7" fillId="0" borderId="35" xfId="143" applyNumberFormat="1" applyFont="1" applyBorder="1" applyAlignment="1">
      <alignment horizontal="center" vertical="center" wrapText="1"/>
      <protection/>
    </xf>
    <xf numFmtId="0" fontId="7" fillId="0" borderId="36" xfId="143" applyNumberFormat="1" applyFont="1" applyBorder="1" applyAlignment="1">
      <alignment horizontal="center" vertical="center" wrapText="1"/>
      <protection/>
    </xf>
    <xf numFmtId="0" fontId="7" fillId="0" borderId="24" xfId="143" applyNumberFormat="1" applyFont="1" applyBorder="1" applyAlignment="1">
      <alignment horizontal="center" vertical="center" wrapText="1"/>
      <protection/>
    </xf>
    <xf numFmtId="0" fontId="7" fillId="0" borderId="40" xfId="143" applyNumberFormat="1" applyFont="1" applyBorder="1" applyAlignment="1">
      <alignment horizontal="center" vertical="center" wrapText="1"/>
      <protection/>
    </xf>
    <xf numFmtId="49" fontId="7" fillId="44" borderId="26" xfId="143" applyNumberFormat="1" applyFont="1" applyFill="1" applyBorder="1" applyAlignment="1">
      <alignment horizontal="center" vertical="center"/>
      <protection/>
    </xf>
    <xf numFmtId="49" fontId="7" fillId="44" borderId="25" xfId="143" applyNumberFormat="1" applyFont="1" applyFill="1" applyBorder="1" applyAlignment="1">
      <alignment horizontal="center" vertical="center"/>
      <protection/>
    </xf>
    <xf numFmtId="0" fontId="55" fillId="3" borderId="26" xfId="143" applyNumberFormat="1" applyFont="1" applyFill="1" applyBorder="1" applyAlignment="1">
      <alignment horizontal="center" vertical="center" wrapText="1"/>
      <protection/>
    </xf>
    <xf numFmtId="0" fontId="55" fillId="3" borderId="25" xfId="143" applyNumberFormat="1" applyFont="1" applyFill="1" applyBorder="1" applyAlignment="1">
      <alignment horizontal="center" vertical="center" wrapText="1"/>
      <protection/>
    </xf>
    <xf numFmtId="49" fontId="3" fillId="0" borderId="0" xfId="143" applyNumberFormat="1" applyFont="1" applyFill="1" applyAlignment="1">
      <alignment horizontal="left"/>
      <protection/>
    </xf>
    <xf numFmtId="49" fontId="6" fillId="0" borderId="20" xfId="143" applyNumberFormat="1" applyFont="1" applyFill="1" applyBorder="1" applyAlignment="1">
      <alignment horizontal="center" vertical="center" wrapText="1"/>
      <protection/>
    </xf>
    <xf numFmtId="49" fontId="6" fillId="0" borderId="26" xfId="143" applyNumberFormat="1" applyFont="1" applyFill="1" applyBorder="1" applyAlignment="1">
      <alignment horizontal="center" vertical="center" wrapText="1"/>
      <protection/>
    </xf>
    <xf numFmtId="49" fontId="6" fillId="0" borderId="41" xfId="143" applyNumberFormat="1" applyFont="1" applyFill="1" applyBorder="1" applyAlignment="1">
      <alignment horizontal="center" vertical="center" wrapText="1"/>
      <protection/>
    </xf>
    <xf numFmtId="49" fontId="6" fillId="0" borderId="25" xfId="143" applyNumberFormat="1" applyFont="1" applyFill="1" applyBorder="1" applyAlignment="1">
      <alignment horizontal="center" vertical="center" wrapText="1"/>
      <protection/>
    </xf>
    <xf numFmtId="49" fontId="18" fillId="0" borderId="0" xfId="143" applyNumberFormat="1" applyFont="1" applyFill="1" applyBorder="1" applyAlignment="1">
      <alignment horizontal="left"/>
      <protection/>
    </xf>
    <xf numFmtId="49" fontId="0" fillId="0" borderId="0" xfId="143" applyNumberFormat="1" applyFont="1" applyFill="1" applyAlignment="1">
      <alignment horizontal="justify" wrapText="1"/>
      <protection/>
    </xf>
    <xf numFmtId="49" fontId="3" fillId="0" borderId="0" xfId="143" applyNumberFormat="1" applyFont="1" applyFill="1" applyAlignment="1">
      <alignment horizontal="center" vertical="top" wrapText="1"/>
      <protection/>
    </xf>
    <xf numFmtId="49" fontId="67" fillId="3" borderId="26" xfId="143" applyNumberFormat="1" applyFont="1" applyFill="1" applyBorder="1" applyAlignment="1">
      <alignment horizontal="center" vertical="center" wrapText="1"/>
      <protection/>
    </xf>
    <xf numFmtId="49" fontId="67" fillId="3" borderId="25" xfId="143" applyNumberFormat="1" applyFont="1" applyFill="1" applyBorder="1" applyAlignment="1">
      <alignment horizontal="center" vertical="center" wrapText="1"/>
      <protection/>
    </xf>
    <xf numFmtId="49" fontId="7" fillId="44" borderId="26" xfId="143" applyNumberFormat="1" applyFont="1" applyFill="1" applyBorder="1" applyAlignment="1">
      <alignment horizontal="center"/>
      <protection/>
    </xf>
    <xf numFmtId="49" fontId="7" fillId="44" borderId="25" xfId="143" applyNumberFormat="1" applyFont="1" applyFill="1" applyBorder="1" applyAlignment="1">
      <alignment horizontal="center"/>
      <protection/>
    </xf>
    <xf numFmtId="49" fontId="21" fillId="0" borderId="26" xfId="143" applyNumberFormat="1" applyFont="1" applyFill="1" applyBorder="1" applyAlignment="1">
      <alignment horizontal="center" vertical="center" wrapText="1"/>
      <protection/>
    </xf>
    <xf numFmtId="49" fontId="21" fillId="0" borderId="25" xfId="143" applyNumberFormat="1" applyFont="1" applyFill="1" applyBorder="1" applyAlignment="1">
      <alignment horizontal="center" vertical="center" wrapText="1"/>
      <protection/>
    </xf>
    <xf numFmtId="0" fontId="6" fillId="0" borderId="35" xfId="143" applyNumberFormat="1" applyFont="1" applyFill="1" applyBorder="1" applyAlignment="1">
      <alignment horizontal="center" vertical="center" wrapText="1"/>
      <protection/>
    </xf>
    <xf numFmtId="0" fontId="6" fillId="0" borderId="36" xfId="143" applyNumberFormat="1" applyFont="1" applyFill="1" applyBorder="1" applyAlignment="1">
      <alignment horizontal="center" vertical="center" wrapText="1"/>
      <protection/>
    </xf>
    <xf numFmtId="0" fontId="6" fillId="0" borderId="24" xfId="143" applyNumberFormat="1" applyFont="1" applyFill="1" applyBorder="1" applyAlignment="1">
      <alignment horizontal="center" vertical="center" wrapText="1"/>
      <protection/>
    </xf>
    <xf numFmtId="0" fontId="6" fillId="0" borderId="40" xfId="143" applyNumberFormat="1" applyFont="1" applyFill="1" applyBorder="1" applyAlignment="1">
      <alignment horizontal="center" vertical="center" wrapText="1"/>
      <protection/>
    </xf>
    <xf numFmtId="0" fontId="6" fillId="0" borderId="27" xfId="143" applyNumberFormat="1" applyFont="1" applyFill="1" applyBorder="1" applyAlignment="1">
      <alignment horizontal="center" vertical="center" wrapText="1"/>
      <protection/>
    </xf>
    <xf numFmtId="0" fontId="6" fillId="0" borderId="37" xfId="143" applyNumberFormat="1" applyFont="1" applyFill="1" applyBorder="1" applyAlignment="1">
      <alignment horizontal="center" vertical="center" wrapText="1"/>
      <protection/>
    </xf>
    <xf numFmtId="49" fontId="6" fillId="0" borderId="38" xfId="143" applyNumberFormat="1" applyFont="1" applyFill="1" applyBorder="1" applyAlignment="1">
      <alignment horizontal="center" vertical="center" wrapText="1"/>
      <protection/>
    </xf>
    <xf numFmtId="49" fontId="6" fillId="0" borderId="23" xfId="143" applyNumberFormat="1" applyFont="1" applyFill="1" applyBorder="1" applyAlignment="1">
      <alignment horizontal="center" vertical="center" wrapText="1"/>
      <protection/>
    </xf>
    <xf numFmtId="49" fontId="3" fillId="0" borderId="20" xfId="143" applyNumberFormat="1" applyFont="1" applyFill="1" applyBorder="1" applyAlignment="1">
      <alignment horizontal="center"/>
      <protection/>
    </xf>
    <xf numFmtId="49" fontId="66" fillId="3" borderId="26" xfId="143" applyNumberFormat="1" applyFont="1" applyFill="1" applyBorder="1" applyAlignment="1">
      <alignment horizontal="center" vertical="center" wrapText="1"/>
      <protection/>
    </xf>
    <xf numFmtId="49" fontId="66" fillId="3" borderId="25" xfId="143" applyNumberFormat="1" applyFont="1" applyFill="1" applyBorder="1" applyAlignment="1">
      <alignment horizontal="center" vertical="center" wrapText="1"/>
      <protection/>
    </xf>
    <xf numFmtId="49" fontId="0" fillId="0" borderId="0" xfId="143" applyNumberFormat="1" applyFont="1" applyFill="1" applyBorder="1" applyAlignment="1">
      <alignment horizontal="left"/>
      <protection/>
    </xf>
    <xf numFmtId="49" fontId="3" fillId="0" borderId="0" xfId="143" applyNumberFormat="1" applyFont="1" applyFill="1" applyBorder="1" applyAlignment="1">
      <alignment horizontal="left"/>
      <protection/>
    </xf>
    <xf numFmtId="49" fontId="3" fillId="0" borderId="0" xfId="143" applyNumberFormat="1" applyFont="1" applyFill="1" applyBorder="1" applyAlignment="1">
      <alignment horizontal="left" wrapText="1"/>
      <protection/>
    </xf>
    <xf numFmtId="49" fontId="0" fillId="0" borderId="0" xfId="143" applyNumberFormat="1" applyFont="1" applyFill="1" applyBorder="1" applyAlignment="1">
      <alignment horizontal="left" wrapText="1"/>
      <protection/>
    </xf>
    <xf numFmtId="49" fontId="6" fillId="0" borderId="22" xfId="143" applyNumberFormat="1" applyFont="1" applyFill="1" applyBorder="1" applyAlignment="1">
      <alignment horizontal="center" vertical="center" wrapText="1"/>
      <protection/>
    </xf>
    <xf numFmtId="49" fontId="15" fillId="0" borderId="0" xfId="143" applyNumberFormat="1" applyFont="1" applyFill="1" applyBorder="1" applyAlignment="1">
      <alignment horizontal="center" vertical="center" wrapText="1"/>
      <protection/>
    </xf>
    <xf numFmtId="49" fontId="13" fillId="0" borderId="0" xfId="143" applyNumberFormat="1" applyFont="1" applyFill="1" applyAlignment="1">
      <alignment horizontal="left" wrapText="1"/>
      <protection/>
    </xf>
    <xf numFmtId="49" fontId="13" fillId="0" borderId="0" xfId="143" applyNumberFormat="1" applyFont="1" applyFill="1" applyAlignment="1">
      <alignment horizontal="center" wrapText="1"/>
      <protection/>
    </xf>
    <xf numFmtId="0" fontId="3" fillId="0" borderId="0" xfId="143" applyFont="1" applyAlignment="1">
      <alignment horizontal="center"/>
      <protection/>
    </xf>
    <xf numFmtId="49" fontId="3" fillId="47" borderId="0" xfId="143" applyNumberFormat="1" applyFont="1" applyFill="1" applyAlignment="1">
      <alignment horizontal="center"/>
      <protection/>
    </xf>
    <xf numFmtId="49" fontId="23" fillId="0" borderId="0" xfId="143" applyNumberFormat="1" applyFont="1" applyFill="1" applyBorder="1" applyAlignment="1">
      <alignment horizontal="center" wrapText="1"/>
      <protection/>
    </xf>
    <xf numFmtId="49" fontId="15" fillId="0" borderId="0" xfId="143" applyNumberFormat="1" applyFont="1" applyFill="1" applyBorder="1" applyAlignment="1">
      <alignment horizontal="center" wrapText="1"/>
      <protection/>
    </xf>
    <xf numFmtId="49" fontId="70" fillId="0" borderId="0" xfId="143" applyNumberFormat="1" applyFont="1" applyFill="1" applyAlignment="1">
      <alignment horizontal="center"/>
      <protection/>
    </xf>
    <xf numFmtId="49" fontId="18" fillId="0" borderId="0" xfId="143" applyNumberFormat="1" applyFont="1" applyFill="1" applyAlignment="1">
      <alignment horizontal="center"/>
      <protection/>
    </xf>
    <xf numFmtId="49" fontId="3" fillId="0" borderId="20" xfId="143" applyNumberFormat="1" applyFont="1" applyFill="1" applyBorder="1" applyAlignment="1">
      <alignment horizontal="center" vertical="center" wrapText="1"/>
      <protection/>
    </xf>
    <xf numFmtId="49" fontId="20" fillId="0" borderId="20" xfId="143" applyNumberFormat="1" applyFont="1" applyFill="1" applyBorder="1" applyAlignment="1">
      <alignment horizontal="center" vertical="center" wrapText="1"/>
      <protection/>
    </xf>
    <xf numFmtId="49" fontId="3" fillId="0" borderId="20" xfId="143" applyNumberFormat="1" applyFont="1" applyBorder="1" applyAlignment="1">
      <alignment horizontal="center"/>
      <protection/>
    </xf>
    <xf numFmtId="49" fontId="14" fillId="0" borderId="0" xfId="143" applyNumberFormat="1" applyFont="1" applyAlignment="1">
      <alignment horizontal="center" wrapText="1"/>
      <protection/>
    </xf>
    <xf numFmtId="49" fontId="18" fillId="0" borderId="22" xfId="143" applyNumberFormat="1" applyFont="1" applyBorder="1" applyAlignment="1">
      <alignment horizontal="left"/>
      <protection/>
    </xf>
    <xf numFmtId="49" fontId="18" fillId="0" borderId="0" xfId="143" applyNumberFormat="1" applyFont="1" applyAlignment="1">
      <alignment horizontal="center"/>
      <protection/>
    </xf>
    <xf numFmtId="49" fontId="55" fillId="3" borderId="26" xfId="143" applyNumberFormat="1" applyFont="1" applyFill="1" applyBorder="1" applyAlignment="1">
      <alignment horizontal="center" wrapText="1"/>
      <protection/>
    </xf>
    <xf numFmtId="49" fontId="55" fillId="3" borderId="25" xfId="143" applyNumberFormat="1" applyFont="1" applyFill="1" applyBorder="1" applyAlignment="1">
      <alignment horizontal="center" wrapText="1"/>
      <protection/>
    </xf>
    <xf numFmtId="49" fontId="54" fillId="3" borderId="26" xfId="143" applyNumberFormat="1" applyFont="1" applyFill="1" applyBorder="1" applyAlignment="1">
      <alignment horizontal="center" wrapText="1"/>
      <protection/>
    </xf>
    <xf numFmtId="49" fontId="54" fillId="3" borderId="25" xfId="143" applyNumberFormat="1" applyFont="1" applyFill="1" applyBorder="1" applyAlignment="1">
      <alignment horizontal="center" wrapText="1"/>
      <protection/>
    </xf>
    <xf numFmtId="49" fontId="18" fillId="0" borderId="0" xfId="143" applyNumberFormat="1" applyFont="1" applyBorder="1" applyAlignment="1">
      <alignment horizontal="left"/>
      <protection/>
    </xf>
    <xf numFmtId="49" fontId="28" fillId="0" borderId="0" xfId="143" applyNumberFormat="1" applyFont="1" applyAlignment="1">
      <alignment horizontal="center"/>
      <protection/>
    </xf>
    <xf numFmtId="49" fontId="0" fillId="0" borderId="0" xfId="143" applyNumberFormat="1" applyFont="1" applyAlignment="1">
      <alignment horizontal="left" wrapText="1"/>
      <protection/>
    </xf>
    <xf numFmtId="49" fontId="3" fillId="0" borderId="0" xfId="143" applyNumberFormat="1" applyFont="1" applyAlignment="1">
      <alignment horizontal="left" wrapText="1"/>
      <protection/>
    </xf>
    <xf numFmtId="49" fontId="0" fillId="0" borderId="0" xfId="143" applyNumberFormat="1" applyFont="1" applyAlignment="1">
      <alignment/>
      <protection/>
    </xf>
    <xf numFmtId="49" fontId="30" fillId="0" borderId="0" xfId="143" applyNumberFormat="1" applyFont="1" applyBorder="1" applyAlignment="1">
      <alignment horizontal="center"/>
      <protection/>
    </xf>
    <xf numFmtId="49" fontId="25" fillId="0" borderId="0" xfId="143" applyNumberFormat="1" applyFont="1" applyBorder="1" applyAlignment="1">
      <alignment horizontal="center"/>
      <protection/>
    </xf>
    <xf numFmtId="49" fontId="7" fillId="0" borderId="35" xfId="143" applyNumberFormat="1" applyFont="1" applyFill="1" applyBorder="1" applyAlignment="1">
      <alignment horizontal="center" vertical="center" wrapText="1"/>
      <protection/>
    </xf>
    <xf numFmtId="49" fontId="7" fillId="0" borderId="36" xfId="143" applyNumberFormat="1" applyFont="1" applyFill="1" applyBorder="1" applyAlignment="1">
      <alignment horizontal="center" vertical="center" wrapText="1"/>
      <protection/>
    </xf>
    <xf numFmtId="49" fontId="7" fillId="0" borderId="24" xfId="143" applyNumberFormat="1" applyFont="1" applyFill="1" applyBorder="1" applyAlignment="1">
      <alignment horizontal="center" vertical="center" wrapText="1"/>
      <protection/>
    </xf>
    <xf numFmtId="49" fontId="7" fillId="0" borderId="40" xfId="143" applyNumberFormat="1" applyFont="1" applyFill="1" applyBorder="1" applyAlignment="1">
      <alignment horizontal="center" vertical="center" wrapText="1"/>
      <protection/>
    </xf>
    <xf numFmtId="49" fontId="7" fillId="0" borderId="27" xfId="143" applyNumberFormat="1" applyFont="1" applyFill="1" applyBorder="1" applyAlignment="1">
      <alignment horizontal="center" vertical="center" wrapText="1"/>
      <protection/>
    </xf>
    <xf numFmtId="49" fontId="7" fillId="0" borderId="37" xfId="143" applyNumberFormat="1" applyFont="1" applyFill="1" applyBorder="1" applyAlignment="1">
      <alignment horizontal="center" vertical="center" wrapText="1"/>
      <protection/>
    </xf>
    <xf numFmtId="49" fontId="13" fillId="0" borderId="0" xfId="143" applyNumberFormat="1" applyFont="1" applyBorder="1" applyAlignment="1">
      <alignment wrapText="1"/>
      <protection/>
    </xf>
    <xf numFmtId="49" fontId="13" fillId="0" borderId="0" xfId="143" applyNumberFormat="1" applyFont="1" applyBorder="1" applyAlignment="1">
      <alignment horizontal="center" wrapText="1"/>
      <protection/>
    </xf>
    <xf numFmtId="49" fontId="7" fillId="44" borderId="26" xfId="143" applyNumberFormat="1" applyFont="1" applyFill="1" applyBorder="1" applyAlignment="1">
      <alignment horizontal="center" vertical="center" wrapText="1"/>
      <protection/>
    </xf>
    <xf numFmtId="49" fontId="7" fillId="44" borderId="25" xfId="143" applyNumberFormat="1" applyFont="1" applyFill="1" applyBorder="1" applyAlignment="1">
      <alignment horizontal="center" vertical="center" wrapText="1"/>
      <protection/>
    </xf>
    <xf numFmtId="49" fontId="16" fillId="0" borderId="26" xfId="143" applyNumberFormat="1" applyFont="1" applyBorder="1" applyAlignment="1">
      <alignment horizontal="center" wrapText="1"/>
      <protection/>
    </xf>
    <xf numFmtId="49" fontId="16" fillId="0" borderId="25" xfId="143" applyNumberFormat="1" applyFont="1" applyBorder="1" applyAlignment="1">
      <alignment horizontal="center" wrapText="1"/>
      <protection/>
    </xf>
    <xf numFmtId="49" fontId="28" fillId="0" borderId="0" xfId="143" applyNumberFormat="1" applyFont="1" applyBorder="1" applyAlignment="1">
      <alignment horizontal="center" wrapText="1"/>
      <protection/>
    </xf>
    <xf numFmtId="49" fontId="6" fillId="0" borderId="20" xfId="145" applyNumberFormat="1" applyFont="1" applyFill="1" applyBorder="1" applyAlignment="1">
      <alignment horizontal="center" vertical="center" wrapText="1"/>
      <protection/>
    </xf>
    <xf numFmtId="49" fontId="84" fillId="3" borderId="26" xfId="145" applyNumberFormat="1" applyFont="1" applyFill="1" applyBorder="1" applyAlignment="1">
      <alignment horizontal="center" vertical="center" wrapText="1"/>
      <protection/>
    </xf>
    <xf numFmtId="49" fontId="84" fillId="3" borderId="25" xfId="145" applyNumberFormat="1" applyFont="1" applyFill="1" applyBorder="1" applyAlignment="1">
      <alignment horizontal="center" vertical="center" wrapText="1"/>
      <protection/>
    </xf>
    <xf numFmtId="49" fontId="6" fillId="0" borderId="25" xfId="145" applyNumberFormat="1" applyFont="1" applyFill="1" applyBorder="1" applyAlignment="1">
      <alignment horizontal="center" vertical="center" wrapText="1"/>
      <protection/>
    </xf>
    <xf numFmtId="49" fontId="3" fillId="0" borderId="0" xfId="145" applyNumberFormat="1" applyFont="1" applyBorder="1" applyAlignment="1">
      <alignment horizontal="left"/>
      <protection/>
    </xf>
    <xf numFmtId="49" fontId="6" fillId="0" borderId="35" xfId="145" applyNumberFormat="1" applyFont="1" applyFill="1" applyBorder="1" applyAlignment="1">
      <alignment horizontal="center" vertical="center"/>
      <protection/>
    </xf>
    <xf numFmtId="49" fontId="6" fillId="0" borderId="36" xfId="145" applyNumberFormat="1" applyFont="1" applyFill="1" applyBorder="1" applyAlignment="1">
      <alignment horizontal="center" vertical="center"/>
      <protection/>
    </xf>
    <xf numFmtId="49" fontId="6" fillId="0" borderId="24" xfId="145" applyNumberFormat="1" applyFont="1" applyFill="1" applyBorder="1" applyAlignment="1">
      <alignment horizontal="center" vertical="center"/>
      <protection/>
    </xf>
    <xf numFmtId="49" fontId="6" fillId="0" borderId="40" xfId="145" applyNumberFormat="1" applyFont="1" applyFill="1" applyBorder="1" applyAlignment="1">
      <alignment horizontal="center" vertical="center"/>
      <protection/>
    </xf>
    <xf numFmtId="49" fontId="6" fillId="0" borderId="27" xfId="145" applyNumberFormat="1" applyFont="1" applyFill="1" applyBorder="1" applyAlignment="1">
      <alignment horizontal="center" vertical="center"/>
      <protection/>
    </xf>
    <xf numFmtId="49" fontId="6" fillId="0" borderId="37" xfId="145" applyNumberFormat="1" applyFont="1" applyFill="1" applyBorder="1" applyAlignment="1">
      <alignment horizontal="center" vertical="center"/>
      <protection/>
    </xf>
    <xf numFmtId="49" fontId="14" fillId="0" borderId="0" xfId="145" applyNumberFormat="1" applyFont="1" applyFill="1" applyAlignment="1">
      <alignment horizontal="center" wrapText="1"/>
      <protection/>
    </xf>
    <xf numFmtId="49" fontId="14" fillId="0" borderId="0" xfId="145" applyNumberFormat="1" applyFont="1" applyAlignment="1">
      <alignment horizontal="center"/>
      <protection/>
    </xf>
    <xf numFmtId="49" fontId="4" fillId="0" borderId="0" xfId="145" applyNumberFormat="1" applyFont="1" applyAlignment="1">
      <alignment horizontal="left"/>
      <protection/>
    </xf>
    <xf numFmtId="49" fontId="6" fillId="0" borderId="26" xfId="145" applyNumberFormat="1" applyFont="1" applyFill="1" applyBorder="1" applyAlignment="1">
      <alignment horizontal="center" vertical="center"/>
      <protection/>
    </xf>
    <xf numFmtId="49" fontId="6" fillId="0" borderId="41" xfId="145" applyNumberFormat="1" applyFont="1" applyFill="1" applyBorder="1" applyAlignment="1">
      <alignment horizontal="center" vertical="center"/>
      <protection/>
    </xf>
    <xf numFmtId="49" fontId="3" fillId="0" borderId="0" xfId="145" applyNumberFormat="1" applyFont="1" applyFill="1" applyAlignment="1">
      <alignment horizontal="left"/>
      <protection/>
    </xf>
    <xf numFmtId="49" fontId="32" fillId="0" borderId="0" xfId="145" applyNumberFormat="1" applyFont="1" applyAlignment="1">
      <alignment horizontal="center"/>
      <protection/>
    </xf>
    <xf numFmtId="49" fontId="18" fillId="0" borderId="0" xfId="145" applyNumberFormat="1" applyFont="1" applyBorder="1" applyAlignment="1">
      <alignment horizontal="left"/>
      <protection/>
    </xf>
    <xf numFmtId="49" fontId="6" fillId="0" borderId="26" xfId="145" applyNumberFormat="1" applyFont="1" applyFill="1" applyBorder="1" applyAlignment="1">
      <alignment horizontal="center" vertical="center" wrapText="1"/>
      <protection/>
    </xf>
    <xf numFmtId="49" fontId="85" fillId="3" borderId="26" xfId="145" applyNumberFormat="1" applyFont="1" applyFill="1" applyBorder="1" applyAlignment="1">
      <alignment horizontal="center" vertical="center" wrapText="1"/>
      <protection/>
    </xf>
    <xf numFmtId="49" fontId="85" fillId="3" borderId="25" xfId="145" applyNumberFormat="1" applyFont="1" applyFill="1" applyBorder="1" applyAlignment="1">
      <alignment horizontal="center" vertical="center" wrapText="1"/>
      <protection/>
    </xf>
    <xf numFmtId="49" fontId="28" fillId="0" borderId="0" xfId="145" applyNumberFormat="1" applyFont="1" applyAlignment="1">
      <alignment horizontal="center"/>
      <protection/>
    </xf>
    <xf numFmtId="0" fontId="25" fillId="47" borderId="0" xfId="145" applyFont="1" applyFill="1" applyBorder="1" applyAlignment="1">
      <alignment horizontal="center"/>
      <protection/>
    </xf>
    <xf numFmtId="49" fontId="30" fillId="0" borderId="0" xfId="145" applyNumberFormat="1" applyFont="1" applyAlignment="1">
      <alignment horizontal="center"/>
      <protection/>
    </xf>
    <xf numFmtId="49" fontId="25" fillId="0" borderId="0" xfId="145" applyNumberFormat="1" applyFont="1" applyBorder="1" applyAlignment="1">
      <alignment horizontal="center" wrapText="1"/>
      <protection/>
    </xf>
    <xf numFmtId="49" fontId="6" fillId="0" borderId="26" xfId="145" applyNumberFormat="1" applyFont="1" applyBorder="1" applyAlignment="1">
      <alignment horizontal="center" vertical="center" wrapText="1"/>
      <protection/>
    </xf>
    <xf numFmtId="49" fontId="6" fillId="0" borderId="25" xfId="145" applyNumberFormat="1" applyFont="1" applyBorder="1" applyAlignment="1">
      <alignment horizontal="center" vertical="center" wrapText="1"/>
      <protection/>
    </xf>
    <xf numFmtId="49" fontId="25" fillId="0" borderId="0" xfId="145" applyNumberFormat="1" applyFont="1" applyBorder="1" applyAlignment="1">
      <alignment horizontal="center"/>
      <protection/>
    </xf>
    <xf numFmtId="49" fontId="75" fillId="4" borderId="21" xfId="145" applyNumberFormat="1" applyFont="1" applyFill="1" applyBorder="1" applyAlignment="1">
      <alignment horizontal="center" vertical="center" wrapText="1"/>
      <protection/>
    </xf>
    <xf numFmtId="49" fontId="75" fillId="4" borderId="38" xfId="145" applyNumberFormat="1" applyFont="1" applyFill="1" applyBorder="1" applyAlignment="1">
      <alignment horizontal="center" vertical="center" wrapText="1"/>
      <protection/>
    </xf>
    <xf numFmtId="49" fontId="75" fillId="4" borderId="23" xfId="145" applyNumberFormat="1" applyFont="1" applyFill="1" applyBorder="1" applyAlignment="1">
      <alignment horizontal="center" vertical="center" wrapText="1"/>
      <protection/>
    </xf>
    <xf numFmtId="49" fontId="0" fillId="0" borderId="0" xfId="145" applyNumberFormat="1" applyFont="1" applyAlignment="1">
      <alignment horizontal="left"/>
      <protection/>
    </xf>
    <xf numFmtId="49" fontId="83" fillId="0" borderId="26" xfId="145" applyNumberFormat="1" applyFont="1" applyBorder="1" applyAlignment="1">
      <alignment horizontal="center" vertical="center" wrapText="1"/>
      <protection/>
    </xf>
    <xf numFmtId="49" fontId="83" fillId="0" borderId="25" xfId="145" applyNumberFormat="1" applyFont="1" applyBorder="1" applyAlignment="1">
      <alignment horizontal="center" vertical="center" wrapText="1"/>
      <protection/>
    </xf>
    <xf numFmtId="49" fontId="30" fillId="0" borderId="0" xfId="145" applyNumberFormat="1" applyFont="1" applyBorder="1" applyAlignment="1">
      <alignment horizontal="center" wrapText="1"/>
      <protection/>
    </xf>
    <xf numFmtId="49" fontId="6" fillId="0" borderId="21" xfId="145" applyNumberFormat="1" applyFont="1" applyFill="1" applyBorder="1" applyAlignment="1">
      <alignment horizontal="center" vertical="center" wrapText="1"/>
      <protection/>
    </xf>
    <xf numFmtId="49" fontId="6" fillId="0" borderId="38" xfId="145" applyNumberFormat="1" applyFont="1" applyFill="1" applyBorder="1" applyAlignment="1">
      <alignment horizontal="center" vertical="center" wrapText="1"/>
      <protection/>
    </xf>
    <xf numFmtId="49" fontId="6" fillId="0" borderId="23" xfId="145" applyNumberFormat="1" applyFont="1" applyFill="1" applyBorder="1" applyAlignment="1">
      <alignment horizontal="center" vertical="center" wrapText="1"/>
      <protection/>
    </xf>
    <xf numFmtId="49" fontId="13" fillId="0" borderId="0" xfId="145" applyNumberFormat="1" applyFont="1" applyAlignment="1">
      <alignment horizontal="center"/>
      <protection/>
    </xf>
    <xf numFmtId="49" fontId="30" fillId="0" borderId="0" xfId="145" applyNumberFormat="1" applyFont="1" applyBorder="1" applyAlignment="1">
      <alignment horizontal="center"/>
      <protection/>
    </xf>
    <xf numFmtId="0" fontId="6" fillId="0" borderId="20" xfId="145" applyFont="1" applyBorder="1" applyAlignment="1">
      <alignment horizontal="center" vertical="center" wrapText="1"/>
      <protection/>
    </xf>
    <xf numFmtId="0" fontId="6" fillId="0" borderId="20" xfId="145" applyFont="1" applyBorder="1" applyAlignment="1">
      <alignment horizontal="center" vertical="center"/>
      <protection/>
    </xf>
    <xf numFmtId="0" fontId="6" fillId="0" borderId="20" xfId="145" applyFont="1" applyFill="1" applyBorder="1" applyAlignment="1">
      <alignment horizontal="center" vertical="center" wrapText="1"/>
      <protection/>
    </xf>
    <xf numFmtId="0" fontId="12" fillId="0" borderId="20" xfId="145" applyFont="1" applyBorder="1" applyAlignment="1">
      <alignment horizontal="center" vertical="center" wrapText="1"/>
      <protection/>
    </xf>
    <xf numFmtId="0" fontId="3" fillId="0" borderId="0" xfId="145" applyFont="1" applyBorder="1" applyAlignment="1">
      <alignment horizontal="left"/>
      <protection/>
    </xf>
    <xf numFmtId="0" fontId="0" fillId="0" borderId="0" xfId="145" applyFont="1" applyBorder="1" applyAlignment="1">
      <alignment horizontal="left"/>
      <protection/>
    </xf>
    <xf numFmtId="0" fontId="14" fillId="0" borderId="0" xfId="145" applyFont="1" applyAlignment="1">
      <alignment horizontal="center"/>
      <protection/>
    </xf>
    <xf numFmtId="0" fontId="32" fillId="0" borderId="0" xfId="145" applyFont="1" applyAlignment="1">
      <alignment horizontal="center"/>
      <protection/>
    </xf>
    <xf numFmtId="0" fontId="6" fillId="0" borderId="35" xfId="145" applyFont="1" applyBorder="1" applyAlignment="1">
      <alignment horizontal="center" vertical="center" wrapText="1"/>
      <protection/>
    </xf>
    <xf numFmtId="0" fontId="6" fillId="0" borderId="19" xfId="145" applyFont="1" applyBorder="1" applyAlignment="1">
      <alignment horizontal="center" vertical="center" wrapText="1"/>
      <protection/>
    </xf>
    <xf numFmtId="0" fontId="6" fillId="0" borderId="36" xfId="145" applyFont="1" applyBorder="1" applyAlignment="1">
      <alignment horizontal="center" vertical="center" wrapText="1"/>
      <protection/>
    </xf>
    <xf numFmtId="0" fontId="6" fillId="0" borderId="24" xfId="145" applyFont="1" applyBorder="1" applyAlignment="1">
      <alignment horizontal="center" vertical="center" wrapText="1"/>
      <protection/>
    </xf>
    <xf numFmtId="0" fontId="6" fillId="0" borderId="0" xfId="145" applyFont="1" applyBorder="1" applyAlignment="1">
      <alignment horizontal="center" vertical="center" wrapText="1"/>
      <protection/>
    </xf>
    <xf numFmtId="0" fontId="6" fillId="0" borderId="40" xfId="145" applyFont="1" applyBorder="1" applyAlignment="1">
      <alignment horizontal="center" vertical="center" wrapText="1"/>
      <protection/>
    </xf>
    <xf numFmtId="0" fontId="6" fillId="0" borderId="25" xfId="145" applyFont="1" applyBorder="1" applyAlignment="1">
      <alignment horizontal="center" vertical="center" wrapText="1"/>
      <protection/>
    </xf>
    <xf numFmtId="0" fontId="6" fillId="0" borderId="41" xfId="145" applyFont="1" applyBorder="1" applyAlignment="1">
      <alignment horizontal="center" vertical="center"/>
      <protection/>
    </xf>
    <xf numFmtId="0" fontId="6" fillId="0" borderId="25" xfId="145" applyFont="1" applyBorder="1" applyAlignment="1">
      <alignment horizontal="center" vertical="center"/>
      <protection/>
    </xf>
    <xf numFmtId="0" fontId="3" fillId="0" borderId="0" xfId="145" applyNumberFormat="1" applyFont="1" applyAlignment="1">
      <alignment horizontal="left"/>
      <protection/>
    </xf>
    <xf numFmtId="0" fontId="0" fillId="0" borderId="0" xfId="145" applyFont="1" applyAlignment="1">
      <alignment horizontal="left"/>
      <protection/>
    </xf>
    <xf numFmtId="0" fontId="0" fillId="0" borderId="0" xfId="145" applyFont="1" applyBorder="1" applyAlignment="1">
      <alignment/>
      <protection/>
    </xf>
    <xf numFmtId="0" fontId="14" fillId="0" borderId="0" xfId="145" applyFont="1" applyAlignment="1">
      <alignment horizontal="center" wrapText="1"/>
      <protection/>
    </xf>
    <xf numFmtId="0" fontId="13" fillId="0" borderId="0" xfId="145" applyFont="1" applyBorder="1" applyAlignment="1">
      <alignment horizontal="center"/>
      <protection/>
    </xf>
    <xf numFmtId="3" fontId="0" fillId="47" borderId="0" xfId="145" applyNumberFormat="1" applyFont="1" applyFill="1" applyBorder="1" applyAlignment="1">
      <alignment horizontal="left"/>
      <protection/>
    </xf>
    <xf numFmtId="0" fontId="13" fillId="0" borderId="22" xfId="145" applyFont="1" applyBorder="1" applyAlignment="1">
      <alignment horizontal="left"/>
      <protection/>
    </xf>
    <xf numFmtId="0" fontId="6" fillId="0" borderId="26" xfId="145" applyFont="1" applyBorder="1" applyAlignment="1">
      <alignment horizontal="center" vertical="center"/>
      <protection/>
    </xf>
    <xf numFmtId="0" fontId="30" fillId="0" borderId="0" xfId="145" applyNumberFormat="1" applyFont="1" applyBorder="1" applyAlignment="1">
      <alignment horizontal="center"/>
      <protection/>
    </xf>
    <xf numFmtId="0" fontId="30" fillId="0" borderId="0" xfId="145" applyFont="1" applyBorder="1" applyAlignment="1">
      <alignment horizontal="center" wrapText="1"/>
      <protection/>
    </xf>
    <xf numFmtId="0" fontId="25" fillId="0" borderId="0" xfId="145" applyFont="1" applyBorder="1" applyAlignment="1">
      <alignment horizontal="center" wrapText="1"/>
      <protection/>
    </xf>
    <xf numFmtId="0" fontId="66" fillId="3" borderId="26" xfId="145" applyFont="1" applyFill="1" applyBorder="1" applyAlignment="1">
      <alignment horizontal="center" vertical="center" wrapText="1"/>
      <protection/>
    </xf>
    <xf numFmtId="0" fontId="66" fillId="3" borderId="25" xfId="145" applyFont="1" applyFill="1" applyBorder="1" applyAlignment="1">
      <alignment horizontal="center" vertical="center" wrapText="1"/>
      <protection/>
    </xf>
    <xf numFmtId="0" fontId="25" fillId="0" borderId="0" xfId="145" applyNumberFormat="1" applyFont="1" applyBorder="1" applyAlignment="1">
      <alignment horizontal="center"/>
      <protection/>
    </xf>
    <xf numFmtId="0" fontId="67" fillId="3" borderId="26" xfId="145" applyFont="1" applyFill="1" applyBorder="1" applyAlignment="1">
      <alignment horizontal="center" vertical="center" wrapText="1"/>
      <protection/>
    </xf>
    <xf numFmtId="0" fontId="67" fillId="3" borderId="25" xfId="145" applyFont="1" applyFill="1" applyBorder="1" applyAlignment="1">
      <alignment horizontal="center" vertical="center" wrapText="1"/>
      <protection/>
    </xf>
    <xf numFmtId="0" fontId="87" fillId="0" borderId="0" xfId="145" applyFont="1" applyAlignment="1">
      <alignment horizontal="center"/>
      <protection/>
    </xf>
    <xf numFmtId="0" fontId="6" fillId="0" borderId="26" xfId="145" applyFont="1" applyBorder="1" applyAlignment="1">
      <alignment horizontal="center" vertical="center" wrapText="1"/>
      <protection/>
    </xf>
    <xf numFmtId="0" fontId="6" fillId="0" borderId="21" xfId="145" applyFont="1" applyBorder="1" applyAlignment="1">
      <alignment horizontal="center" vertical="center" wrapText="1"/>
      <protection/>
    </xf>
    <xf numFmtId="0" fontId="6" fillId="0" borderId="38" xfId="145" applyFont="1" applyBorder="1" applyAlignment="1">
      <alignment horizontal="center" vertical="center" wrapText="1"/>
      <protection/>
    </xf>
    <xf numFmtId="0" fontId="6" fillId="0" borderId="23" xfId="145" applyFont="1" applyBorder="1" applyAlignment="1">
      <alignment horizontal="center" vertical="center" wrapText="1"/>
      <protection/>
    </xf>
    <xf numFmtId="0" fontId="21" fillId="0" borderId="26" xfId="145" applyFont="1" applyBorder="1" applyAlignment="1">
      <alignment horizontal="center" vertical="center" wrapText="1"/>
      <protection/>
    </xf>
    <xf numFmtId="0" fontId="21" fillId="0" borderId="25" xfId="145" applyFont="1" applyBorder="1" applyAlignment="1">
      <alignment horizontal="center" vertical="center" wrapText="1"/>
      <protection/>
    </xf>
    <xf numFmtId="49" fontId="6" fillId="0" borderId="19" xfId="145" applyNumberFormat="1" applyFont="1" applyFill="1" applyBorder="1" applyAlignment="1">
      <alignment horizontal="center" vertical="center"/>
      <protection/>
    </xf>
    <xf numFmtId="49" fontId="6" fillId="0" borderId="0" xfId="145" applyNumberFormat="1" applyFont="1" applyFill="1" applyBorder="1" applyAlignment="1">
      <alignment horizontal="center" vertical="center"/>
      <protection/>
    </xf>
    <xf numFmtId="49" fontId="6" fillId="0" borderId="22" xfId="145" applyNumberFormat="1" applyFont="1" applyFill="1" applyBorder="1" applyAlignment="1">
      <alignment horizontal="center" vertical="center"/>
      <protection/>
    </xf>
    <xf numFmtId="49" fontId="78" fillId="0" borderId="0" xfId="145" applyNumberFormat="1" applyFont="1" applyAlignment="1">
      <alignment horizontal="center"/>
      <protection/>
    </xf>
    <xf numFmtId="49" fontId="6" fillId="0" borderId="20" xfId="145" applyNumberFormat="1" applyFont="1" applyFill="1" applyBorder="1" applyAlignment="1">
      <alignment horizontal="center" vertical="center"/>
      <protection/>
    </xf>
    <xf numFmtId="49" fontId="76" fillId="3" borderId="26" xfId="145" applyNumberFormat="1" applyFont="1" applyFill="1" applyBorder="1" applyAlignment="1">
      <alignment horizontal="center" vertical="center" wrapText="1"/>
      <protection/>
    </xf>
    <xf numFmtId="49" fontId="76" fillId="3" borderId="25" xfId="145" applyNumberFormat="1" applyFont="1" applyFill="1" applyBorder="1" applyAlignment="1">
      <alignment horizontal="center" vertical="center" wrapText="1"/>
      <protection/>
    </xf>
    <xf numFmtId="49" fontId="74" fillId="3" borderId="26" xfId="145" applyNumberFormat="1" applyFont="1" applyFill="1" applyBorder="1" applyAlignment="1">
      <alignment horizontal="center" vertical="center" wrapText="1"/>
      <protection/>
    </xf>
    <xf numFmtId="49" fontId="74" fillId="3" borderId="25" xfId="145" applyNumberFormat="1" applyFont="1" applyFill="1" applyBorder="1" applyAlignment="1">
      <alignment horizontal="center" vertical="center" wrapText="1"/>
      <protection/>
    </xf>
    <xf numFmtId="49" fontId="3" fillId="0" borderId="0" xfId="145" applyNumberFormat="1" applyFont="1" applyAlignment="1">
      <alignment horizontal="left"/>
      <protection/>
    </xf>
    <xf numFmtId="49" fontId="5" fillId="0" borderId="0" xfId="145" applyNumberFormat="1" applyFont="1" applyBorder="1" applyAlignment="1">
      <alignment horizontal="left" wrapText="1"/>
      <protection/>
    </xf>
    <xf numFmtId="49" fontId="5" fillId="0" borderId="0" xfId="145" applyNumberFormat="1" applyFont="1" applyBorder="1" applyAlignment="1">
      <alignment horizontal="left"/>
      <protection/>
    </xf>
    <xf numFmtId="49" fontId="14" fillId="0" borderId="0" xfId="145" applyNumberFormat="1" applyFont="1" applyAlignment="1">
      <alignment horizontal="center" wrapText="1"/>
      <protection/>
    </xf>
    <xf numFmtId="49" fontId="0" fillId="47" borderId="0" xfId="145" applyNumberFormat="1" applyFont="1" applyFill="1" applyBorder="1" applyAlignment="1">
      <alignment horizontal="left" vertical="top" wrapText="1"/>
      <protection/>
    </xf>
    <xf numFmtId="49" fontId="3" fillId="47" borderId="0" xfId="145" applyNumberFormat="1" applyFont="1" applyFill="1" applyBorder="1" applyAlignment="1">
      <alignment horizontal="left" vertical="top" wrapText="1"/>
      <protection/>
    </xf>
    <xf numFmtId="49" fontId="0" fillId="0" borderId="0" xfId="145" applyNumberFormat="1" applyFont="1" applyAlignment="1">
      <alignment horizontal="justify" vertical="top"/>
      <protection/>
    </xf>
    <xf numFmtId="49" fontId="0" fillId="0" borderId="0" xfId="145" applyNumberFormat="1" applyFont="1" applyBorder="1" applyAlignment="1">
      <alignment horizontal="justify" vertical="top" wrapText="1"/>
      <protection/>
    </xf>
    <xf numFmtId="49" fontId="0" fillId="0" borderId="0" xfId="145" applyNumberFormat="1" applyFont="1" applyBorder="1" applyAlignment="1">
      <alignment horizontal="justify" vertical="top"/>
      <protection/>
    </xf>
    <xf numFmtId="49" fontId="18" fillId="0" borderId="0" xfId="145" applyNumberFormat="1" applyFont="1" applyAlignment="1">
      <alignment horizontal="center" wrapText="1"/>
      <protection/>
    </xf>
    <xf numFmtId="49" fontId="19" fillId="0" borderId="22" xfId="145" applyNumberFormat="1" applyFont="1" applyBorder="1" applyAlignment="1">
      <alignment horizontal="center"/>
      <protection/>
    </xf>
    <xf numFmtId="49" fontId="73" fillId="0" borderId="20" xfId="145" applyNumberFormat="1" applyFont="1" applyBorder="1" applyAlignment="1">
      <alignment horizontal="center" vertical="center" wrapText="1"/>
      <protection/>
    </xf>
    <xf numFmtId="49" fontId="12" fillId="0" borderId="20" xfId="145" applyNumberFormat="1" applyFont="1" applyBorder="1" applyAlignment="1">
      <alignment horizontal="center" vertical="center" wrapText="1"/>
      <protection/>
    </xf>
    <xf numFmtId="49" fontId="7" fillId="0" borderId="0" xfId="145" applyNumberFormat="1" applyFont="1" applyAlignment="1">
      <alignment horizontal="left"/>
      <protection/>
    </xf>
    <xf numFmtId="49" fontId="13" fillId="0" borderId="0" xfId="145" applyNumberFormat="1" applyFont="1" applyBorder="1" applyAlignment="1">
      <alignment horizontal="left"/>
      <protection/>
    </xf>
    <xf numFmtId="49" fontId="7" fillId="0" borderId="26" xfId="145" applyNumberFormat="1" applyFont="1" applyBorder="1" applyAlignment="1">
      <alignment horizontal="center" vertical="center" wrapText="1"/>
      <protection/>
    </xf>
    <xf numFmtId="49" fontId="7" fillId="0" borderId="25" xfId="145" applyNumberFormat="1" applyFont="1" applyBorder="1" applyAlignment="1">
      <alignment horizontal="center" vertical="center" wrapText="1"/>
      <protection/>
    </xf>
    <xf numFmtId="49" fontId="4" fillId="0" borderId="0" xfId="145" applyNumberFormat="1" applyFont="1" applyAlignment="1">
      <alignment/>
      <protection/>
    </xf>
    <xf numFmtId="49" fontId="0" fillId="0" borderId="0" xfId="145" applyNumberFormat="1" applyFont="1" applyBorder="1" applyAlignment="1">
      <alignment horizontal="left"/>
      <protection/>
    </xf>
    <xf numFmtId="49" fontId="19" fillId="0" borderId="26" xfId="145" applyNumberFormat="1" applyFont="1" applyBorder="1" applyAlignment="1">
      <alignment horizontal="center" vertical="center" wrapText="1"/>
      <protection/>
    </xf>
    <xf numFmtId="49" fontId="19" fillId="0" borderId="25" xfId="145" applyNumberFormat="1" applyFont="1" applyBorder="1" applyAlignment="1">
      <alignment horizontal="center" vertical="center" wrapText="1"/>
      <protection/>
    </xf>
    <xf numFmtId="49" fontId="89" fillId="3" borderId="26" xfId="145" applyNumberFormat="1" applyFont="1" applyFill="1" applyBorder="1" applyAlignment="1">
      <alignment horizontal="center" vertical="center" wrapText="1"/>
      <protection/>
    </xf>
    <xf numFmtId="49" fontId="89" fillId="3" borderId="25" xfId="145" applyNumberFormat="1" applyFont="1" applyFill="1" applyBorder="1" applyAlignment="1">
      <alignment horizontal="center" vertical="center" wrapText="1"/>
      <protection/>
    </xf>
    <xf numFmtId="49" fontId="88" fillId="3" borderId="26" xfId="145" applyNumberFormat="1" applyFont="1" applyFill="1" applyBorder="1" applyAlignment="1">
      <alignment horizontal="center" vertical="center" wrapText="1"/>
      <protection/>
    </xf>
    <xf numFmtId="49" fontId="88" fillId="3" borderId="25" xfId="145" applyNumberFormat="1" applyFont="1" applyFill="1" applyBorder="1" applyAlignment="1">
      <alignment horizontal="center" vertical="center" wrapText="1"/>
      <protection/>
    </xf>
    <xf numFmtId="49" fontId="6" fillId="0" borderId="21" xfId="145" applyNumberFormat="1" applyFont="1" applyBorder="1" applyAlignment="1">
      <alignment horizontal="center" vertical="center" wrapText="1"/>
      <protection/>
    </xf>
    <xf numFmtId="49" fontId="6" fillId="0" borderId="23" xfId="145" applyNumberFormat="1" applyFont="1" applyBorder="1" applyAlignment="1">
      <alignment horizontal="center" vertical="center" wrapText="1"/>
      <protection/>
    </xf>
    <xf numFmtId="49" fontId="6" fillId="0" borderId="38" xfId="145" applyNumberFormat="1" applyFont="1" applyBorder="1" applyAlignment="1">
      <alignment horizontal="center" vertical="center" wrapText="1"/>
      <protection/>
    </xf>
    <xf numFmtId="49" fontId="6" fillId="0" borderId="41" xfId="145" applyNumberFormat="1" applyFont="1" applyBorder="1" applyAlignment="1">
      <alignment horizontal="center" vertical="center" wrapText="1"/>
      <protection/>
    </xf>
    <xf numFmtId="49" fontId="19" fillId="0" borderId="0" xfId="145" applyNumberFormat="1" applyFont="1" applyAlignment="1">
      <alignment horizontal="center"/>
      <protection/>
    </xf>
    <xf numFmtId="49" fontId="18" fillId="0" borderId="22" xfId="145" applyNumberFormat="1" applyFont="1" applyBorder="1" applyAlignment="1">
      <alignment horizontal="left"/>
      <protection/>
    </xf>
    <xf numFmtId="49" fontId="30" fillId="0" borderId="0" xfId="145" applyNumberFormat="1" applyFont="1" applyBorder="1" applyAlignment="1">
      <alignment horizontal="left" wrapText="1"/>
      <protection/>
    </xf>
    <xf numFmtId="49" fontId="6" fillId="0" borderId="41" xfId="145" applyNumberFormat="1" applyFont="1" applyFill="1" applyBorder="1" applyAlignment="1">
      <alignment horizontal="center" vertical="center" wrapText="1"/>
      <protection/>
    </xf>
    <xf numFmtId="49" fontId="0" fillId="0" borderId="0" xfId="145" applyNumberFormat="1" applyFont="1" applyFill="1" applyAlignment="1">
      <alignment horizontal="left"/>
      <protection/>
    </xf>
    <xf numFmtId="49" fontId="13" fillId="0" borderId="22" xfId="145" applyNumberFormat="1" applyFont="1" applyFill="1" applyBorder="1" applyAlignment="1">
      <alignment horizontal="center" vertical="center"/>
      <protection/>
    </xf>
    <xf numFmtId="49" fontId="6" fillId="0" borderId="27" xfId="145" applyNumberFormat="1" applyFont="1" applyFill="1" applyBorder="1" applyAlignment="1">
      <alignment horizontal="center" vertical="center" wrapText="1"/>
      <protection/>
    </xf>
    <xf numFmtId="49" fontId="6" fillId="0" borderId="37" xfId="145" applyNumberFormat="1" applyFont="1" applyFill="1" applyBorder="1" applyAlignment="1">
      <alignment horizontal="center" vertical="center" wrapText="1"/>
      <protection/>
    </xf>
    <xf numFmtId="49" fontId="18" fillId="0" borderId="0" xfId="145" applyNumberFormat="1" applyFont="1" applyFill="1" applyBorder="1" applyAlignment="1">
      <alignment horizontal="left"/>
      <protection/>
    </xf>
    <xf numFmtId="49" fontId="88" fillId="3" borderId="26" xfId="145" applyNumberFormat="1" applyFont="1" applyFill="1" applyBorder="1" applyAlignment="1">
      <alignment horizontal="center" vertical="center"/>
      <protection/>
    </xf>
    <xf numFmtId="49" fontId="88" fillId="3" borderId="25" xfId="145" applyNumberFormat="1" applyFont="1" applyFill="1" applyBorder="1" applyAlignment="1">
      <alignment horizontal="center" vertical="center"/>
      <protection/>
    </xf>
    <xf numFmtId="49" fontId="6" fillId="0" borderId="35" xfId="145" applyNumberFormat="1" applyFont="1" applyFill="1" applyBorder="1" applyAlignment="1">
      <alignment horizontal="center" vertical="center" wrapText="1"/>
      <protection/>
    </xf>
    <xf numFmtId="49" fontId="6" fillId="0" borderId="36" xfId="145" applyNumberFormat="1" applyFont="1" applyFill="1" applyBorder="1" applyAlignment="1">
      <alignment horizontal="center" vertical="center" wrapText="1"/>
      <protection/>
    </xf>
    <xf numFmtId="49" fontId="6" fillId="0" borderId="24" xfId="145" applyNumberFormat="1" applyFont="1" applyFill="1" applyBorder="1" applyAlignment="1">
      <alignment horizontal="center" vertical="center" wrapText="1"/>
      <protection/>
    </xf>
    <xf numFmtId="49" fontId="6" fillId="0" borderId="40" xfId="145" applyNumberFormat="1" applyFont="1" applyFill="1" applyBorder="1" applyAlignment="1">
      <alignment horizontal="center" vertical="center" wrapText="1"/>
      <protection/>
    </xf>
    <xf numFmtId="0" fontId="81" fillId="0" borderId="41" xfId="145" applyFont="1" applyFill="1" applyBorder="1" applyAlignment="1">
      <alignment horizontal="center" vertical="center" wrapText="1"/>
      <protection/>
    </xf>
    <xf numFmtId="0" fontId="81" fillId="0" borderId="25" xfId="145" applyFont="1" applyFill="1" applyBorder="1" applyAlignment="1">
      <alignment horizontal="center" vertical="center" wrapText="1"/>
      <protection/>
    </xf>
    <xf numFmtId="49" fontId="28" fillId="0" borderId="0" xfId="145" applyNumberFormat="1" applyFont="1" applyAlignment="1">
      <alignment horizontal="center"/>
      <protection/>
    </xf>
    <xf numFmtId="49" fontId="89" fillId="3" borderId="26" xfId="145" applyNumberFormat="1" applyFont="1" applyFill="1" applyBorder="1" applyAlignment="1">
      <alignment horizontal="center" vertical="center"/>
      <protection/>
    </xf>
    <xf numFmtId="49" fontId="89" fillId="3" borderId="25" xfId="145" applyNumberFormat="1" applyFont="1" applyFill="1" applyBorder="1" applyAlignment="1">
      <alignment horizontal="center" vertical="center"/>
      <protection/>
    </xf>
    <xf numFmtId="49" fontId="19" fillId="0" borderId="26" xfId="145" applyNumberFormat="1" applyFont="1" applyFill="1" applyBorder="1" applyAlignment="1">
      <alignment horizontal="center" vertical="center"/>
      <protection/>
    </xf>
    <xf numFmtId="49" fontId="19" fillId="0" borderId="25" xfId="145" applyNumberFormat="1" applyFont="1" applyFill="1" applyBorder="1" applyAlignment="1">
      <alignment horizontal="center" vertical="center"/>
      <protection/>
    </xf>
    <xf numFmtId="49" fontId="6" fillId="47" borderId="26" xfId="145" applyNumberFormat="1" applyFont="1" applyFill="1" applyBorder="1" applyAlignment="1">
      <alignment horizontal="center" vertical="center"/>
      <protection/>
    </xf>
    <xf numFmtId="49" fontId="6" fillId="47" borderId="25" xfId="145" applyNumberFormat="1" applyFont="1" applyFill="1" applyBorder="1" applyAlignment="1">
      <alignment horizontal="center" vertical="center"/>
      <protection/>
    </xf>
    <xf numFmtId="0" fontId="14" fillId="0" borderId="0" xfId="145" applyNumberFormat="1" applyFont="1" applyAlignment="1">
      <alignment horizontal="center"/>
      <protection/>
    </xf>
    <xf numFmtId="0" fontId="32" fillId="0" borderId="0" xfId="145" applyNumberFormat="1" applyFont="1" applyAlignment="1">
      <alignment horizontal="center"/>
      <protection/>
    </xf>
    <xf numFmtId="0" fontId="23" fillId="0" borderId="0" xfId="145" applyNumberFormat="1" applyFont="1" applyAlignment="1">
      <alignment horizontal="center"/>
      <protection/>
    </xf>
    <xf numFmtId="0" fontId="7" fillId="0" borderId="20" xfId="145" applyFont="1" applyFill="1" applyBorder="1" applyAlignment="1">
      <alignment horizontal="center" vertical="center" wrapText="1"/>
      <protection/>
    </xf>
    <xf numFmtId="0" fontId="18" fillId="0" borderId="0" xfId="145" applyFont="1" applyBorder="1" applyAlignment="1">
      <alignment horizontal="left"/>
      <protection/>
    </xf>
    <xf numFmtId="0" fontId="13" fillId="0" borderId="0" xfId="145" applyFont="1" applyAlignment="1">
      <alignment horizontal="center"/>
      <protection/>
    </xf>
    <xf numFmtId="49" fontId="30" fillId="0" borderId="0" xfId="145" applyNumberFormat="1" applyFont="1" applyBorder="1" applyAlignment="1">
      <alignment horizontal="justify" vertical="justify" wrapText="1"/>
      <protection/>
    </xf>
    <xf numFmtId="0" fontId="28" fillId="47" borderId="0" xfId="145" applyFont="1" applyFill="1" applyBorder="1" applyAlignment="1">
      <alignment horizontal="center"/>
      <protection/>
    </xf>
    <xf numFmtId="49" fontId="7" fillId="0" borderId="35" xfId="145" applyNumberFormat="1" applyFont="1" applyFill="1" applyBorder="1" applyAlignment="1">
      <alignment horizontal="center" vertical="center"/>
      <protection/>
    </xf>
    <xf numFmtId="49" fontId="7" fillId="0" borderId="36" xfId="145" applyNumberFormat="1" applyFont="1" applyFill="1" applyBorder="1" applyAlignment="1">
      <alignment horizontal="center" vertical="center"/>
      <protection/>
    </xf>
    <xf numFmtId="49" fontId="7" fillId="0" borderId="24" xfId="145" applyNumberFormat="1" applyFont="1" applyFill="1" applyBorder="1" applyAlignment="1">
      <alignment horizontal="center" vertical="center"/>
      <protection/>
    </xf>
    <xf numFmtId="49" fontId="7" fillId="0" borderId="40" xfId="145" applyNumberFormat="1" applyFont="1" applyFill="1" applyBorder="1" applyAlignment="1">
      <alignment horizontal="center" vertical="center"/>
      <protection/>
    </xf>
    <xf numFmtId="49" fontId="7" fillId="0" borderId="27" xfId="145" applyNumberFormat="1" applyFont="1" applyFill="1" applyBorder="1" applyAlignment="1">
      <alignment horizontal="center" vertical="center"/>
      <protection/>
    </xf>
    <xf numFmtId="49" fontId="7" fillId="0" borderId="37" xfId="145" applyNumberFormat="1" applyFont="1" applyFill="1" applyBorder="1" applyAlignment="1">
      <alignment horizontal="center" vertical="center"/>
      <protection/>
    </xf>
    <xf numFmtId="0" fontId="25" fillId="0" borderId="0" xfId="145"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1"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07" fillId="50" borderId="21" xfId="0" applyNumberFormat="1" applyFont="1" applyFill="1" applyBorder="1" applyAlignment="1">
      <alignment horizontal="center" vertical="center" wrapText="1"/>
    </xf>
    <xf numFmtId="49" fontId="107" fillId="50" borderId="23" xfId="0" applyNumberFormat="1" applyFont="1" applyFill="1" applyBorder="1" applyAlignment="1">
      <alignment horizontal="center" vertical="center" wrapText="1"/>
    </xf>
    <xf numFmtId="49" fontId="14" fillId="50" borderId="0" xfId="0" applyNumberFormat="1" applyFont="1" applyFill="1" applyBorder="1" applyAlignment="1">
      <alignment horizontal="center" wrapText="1"/>
    </xf>
    <xf numFmtId="49" fontId="107" fillId="50" borderId="26" xfId="0" applyNumberFormat="1" applyFont="1" applyFill="1" applyBorder="1" applyAlignment="1" applyProtection="1">
      <alignment horizontal="center" vertical="center" wrapText="1"/>
      <protection/>
    </xf>
    <xf numFmtId="49" fontId="107" fillId="50" borderId="41" xfId="0" applyNumberFormat="1" applyFont="1" applyFill="1" applyBorder="1" applyAlignment="1" applyProtection="1">
      <alignment horizontal="center" vertical="center" wrapText="1"/>
      <protection/>
    </xf>
    <xf numFmtId="49" fontId="107" fillId="50" borderId="25" xfId="0" applyNumberFormat="1" applyFont="1" applyFill="1" applyBorder="1" applyAlignment="1" applyProtection="1">
      <alignment horizontal="center" vertical="center" wrapText="1"/>
      <protection/>
    </xf>
    <xf numFmtId="49" fontId="107" fillId="50" borderId="21" xfId="0" applyNumberFormat="1" applyFont="1" applyFill="1" applyBorder="1" applyAlignment="1" applyProtection="1">
      <alignment horizontal="center" vertical="center" wrapText="1"/>
      <protection/>
    </xf>
    <xf numFmtId="49" fontId="107" fillId="50" borderId="38" xfId="0" applyNumberFormat="1" applyFont="1" applyFill="1" applyBorder="1" applyAlignment="1">
      <alignment horizontal="center" vertical="center" wrapText="1"/>
    </xf>
    <xf numFmtId="49" fontId="107" fillId="50" borderId="35" xfId="0" applyNumberFormat="1" applyFont="1" applyFill="1" applyBorder="1" applyAlignment="1" applyProtection="1">
      <alignment horizontal="center" vertical="center" wrapText="1"/>
      <protection/>
    </xf>
    <xf numFmtId="49" fontId="107" fillId="50" borderId="36" xfId="0" applyNumberFormat="1" applyFont="1" applyFill="1" applyBorder="1" applyAlignment="1">
      <alignment horizontal="center" vertical="center" wrapText="1"/>
    </xf>
    <xf numFmtId="49" fontId="107" fillId="50" borderId="27" xfId="0" applyNumberFormat="1" applyFont="1" applyFill="1" applyBorder="1" applyAlignment="1">
      <alignment horizontal="center" vertical="center" wrapText="1"/>
    </xf>
    <xf numFmtId="49" fontId="107" fillId="50" borderId="37" xfId="0" applyNumberFormat="1" applyFont="1" applyFill="1" applyBorder="1" applyAlignment="1">
      <alignment horizontal="center" vertical="center" wrapText="1"/>
    </xf>
    <xf numFmtId="49" fontId="107" fillId="50" borderId="35" xfId="0" applyNumberFormat="1" applyFont="1" applyFill="1" applyBorder="1" applyAlignment="1">
      <alignment horizontal="center" vertical="center" wrapText="1"/>
    </xf>
    <xf numFmtId="49" fontId="107" fillId="50" borderId="24" xfId="0" applyNumberFormat="1" applyFont="1" applyFill="1" applyBorder="1" applyAlignment="1">
      <alignment horizontal="center" vertical="center" wrapText="1"/>
    </xf>
    <xf numFmtId="49" fontId="5" fillId="50" borderId="0" xfId="0" applyNumberFormat="1" applyFont="1" applyFill="1" applyAlignment="1">
      <alignment horizontal="left"/>
    </xf>
    <xf numFmtId="49" fontId="3" fillId="50" borderId="0" xfId="0" applyNumberFormat="1" applyFont="1" applyFill="1" applyAlignment="1">
      <alignment horizontal="center" wrapText="1"/>
    </xf>
    <xf numFmtId="0" fontId="5" fillId="50" borderId="0" xfId="0" applyNumberFormat="1" applyFont="1" applyFill="1" applyBorder="1" applyAlignment="1">
      <alignment wrapText="1"/>
    </xf>
    <xf numFmtId="3" fontId="15" fillId="50" borderId="0" xfId="0" applyNumberFormat="1" applyFont="1" applyFill="1" applyAlignment="1">
      <alignment horizontal="center"/>
    </xf>
    <xf numFmtId="49" fontId="158" fillId="50" borderId="26" xfId="0" applyNumberFormat="1" applyFont="1" applyFill="1" applyBorder="1" applyAlignment="1" applyProtection="1">
      <alignment horizontal="center" vertical="center" wrapText="1"/>
      <protection/>
    </xf>
    <xf numFmtId="49" fontId="158" fillId="50" borderId="25" xfId="0" applyNumberFormat="1" applyFont="1" applyFill="1" applyBorder="1" applyAlignment="1" applyProtection="1">
      <alignment horizontal="center" vertical="center" wrapText="1"/>
      <protection/>
    </xf>
    <xf numFmtId="49" fontId="107" fillId="50" borderId="40" xfId="0" applyNumberFormat="1" applyFont="1" applyFill="1" applyBorder="1" applyAlignment="1">
      <alignment horizontal="center" vertical="center" wrapText="1"/>
    </xf>
    <xf numFmtId="0" fontId="107" fillId="0" borderId="20" xfId="134" applyFont="1" applyFill="1" applyBorder="1" applyAlignment="1">
      <alignment horizontal="center" vertical="center" wrapText="1"/>
      <protection/>
    </xf>
    <xf numFmtId="0" fontId="5" fillId="50" borderId="0" xfId="0" applyNumberFormat="1" applyFont="1" applyFill="1" applyBorder="1" applyAlignment="1">
      <alignment/>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153" fillId="50" borderId="26" xfId="0" applyNumberFormat="1" applyFont="1" applyFill="1" applyBorder="1" applyAlignment="1" applyProtection="1">
      <alignment horizontal="center" vertical="center" wrapText="1"/>
      <protection/>
    </xf>
    <xf numFmtId="49" fontId="153" fillId="50" borderId="25" xfId="0" applyNumberFormat="1" applyFont="1" applyFill="1" applyBorder="1" applyAlignment="1" applyProtection="1">
      <alignment horizontal="center" vertical="center" wrapText="1"/>
      <protection/>
    </xf>
    <xf numFmtId="0" fontId="107" fillId="50" borderId="35" xfId="0" applyNumberFormat="1" applyFont="1" applyFill="1" applyBorder="1" applyAlignment="1">
      <alignment horizontal="center" vertical="center" wrapText="1"/>
    </xf>
    <xf numFmtId="0" fontId="107" fillId="50" borderId="36" xfId="0" applyNumberFormat="1" applyFont="1" applyFill="1" applyBorder="1" applyAlignment="1">
      <alignment horizontal="center" vertical="center" wrapText="1"/>
    </xf>
    <xf numFmtId="0" fontId="107" fillId="50" borderId="24" xfId="0" applyNumberFormat="1" applyFont="1" applyFill="1" applyBorder="1" applyAlignment="1">
      <alignment horizontal="center" vertical="center" wrapText="1"/>
    </xf>
    <xf numFmtId="0" fontId="107" fillId="50" borderId="40" xfId="0" applyNumberFormat="1" applyFont="1" applyFill="1" applyBorder="1" applyAlignment="1">
      <alignment horizontal="center" vertical="center" wrapText="1"/>
    </xf>
    <xf numFmtId="0" fontId="107" fillId="50" borderId="27" xfId="0" applyNumberFormat="1" applyFont="1" applyFill="1" applyBorder="1" applyAlignment="1">
      <alignment horizontal="center" vertical="center" wrapText="1"/>
    </xf>
    <xf numFmtId="0" fontId="107" fillId="50" borderId="37" xfId="0" applyNumberFormat="1" applyFont="1" applyFill="1" applyBorder="1" applyAlignment="1">
      <alignment horizontal="center" vertical="center" wrapText="1"/>
    </xf>
    <xf numFmtId="49" fontId="107" fillId="50" borderId="41" xfId="0" applyNumberFormat="1" applyFont="1" applyFill="1" applyBorder="1" applyAlignment="1">
      <alignment horizontal="center" vertical="center" wrapText="1"/>
    </xf>
    <xf numFmtId="49" fontId="107" fillId="50" borderId="25" xfId="0" applyNumberFormat="1" applyFont="1" applyFill="1" applyBorder="1" applyAlignment="1">
      <alignment horizontal="center" vertical="center" wrapText="1"/>
    </xf>
    <xf numFmtId="49" fontId="4" fillId="50" borderId="0" xfId="0" applyNumberFormat="1" applyFont="1" applyFill="1" applyAlignment="1">
      <alignment horizontal="left"/>
    </xf>
    <xf numFmtId="49" fontId="107" fillId="50" borderId="20" xfId="0" applyNumberFormat="1" applyFont="1" applyFill="1" applyBorder="1" applyAlignment="1" applyProtection="1">
      <alignment horizontal="center" vertical="center" wrapText="1"/>
      <protection/>
    </xf>
    <xf numFmtId="0" fontId="14" fillId="50" borderId="0" xfId="0" applyNumberFormat="1" applyFont="1" applyFill="1" applyBorder="1" applyAlignment="1">
      <alignment horizontal="center" vertical="center"/>
    </xf>
    <xf numFmtId="49" fontId="14" fillId="50" borderId="0" xfId="0" applyNumberFormat="1" applyFont="1" applyFill="1" applyBorder="1" applyAlignment="1">
      <alignment horizontal="center" vertical="center"/>
    </xf>
    <xf numFmtId="49" fontId="107" fillId="50" borderId="20" xfId="0" applyNumberFormat="1" applyFont="1" applyFill="1" applyBorder="1" applyAlignment="1">
      <alignment horizontal="center" vertical="center" wrapText="1"/>
    </xf>
    <xf numFmtId="49" fontId="107" fillId="50" borderId="19" xfId="0" applyNumberFormat="1" applyFont="1" applyFill="1" applyBorder="1" applyAlignment="1" applyProtection="1">
      <alignment horizontal="center" vertical="center" wrapText="1"/>
      <protection/>
    </xf>
    <xf numFmtId="49" fontId="107" fillId="50" borderId="36" xfId="0" applyNumberFormat="1" applyFont="1" applyFill="1" applyBorder="1" applyAlignment="1" applyProtection="1">
      <alignment horizontal="center" vertical="center" wrapText="1"/>
      <protection/>
    </xf>
    <xf numFmtId="1" fontId="107" fillId="50" borderId="26" xfId="0" applyNumberFormat="1" applyFont="1" applyFill="1" applyBorder="1" applyAlignment="1">
      <alignment horizontal="center" vertical="center"/>
    </xf>
    <xf numFmtId="1" fontId="107" fillId="50" borderId="41" xfId="0" applyNumberFormat="1" applyFont="1" applyFill="1" applyBorder="1" applyAlignment="1">
      <alignment horizontal="center" vertical="center"/>
    </xf>
    <xf numFmtId="1" fontId="107" fillId="50" borderId="25" xfId="0" applyNumberFormat="1" applyFont="1" applyFill="1" applyBorder="1" applyAlignment="1">
      <alignment horizontal="center" vertical="center"/>
    </xf>
    <xf numFmtId="0" fontId="5" fillId="50" borderId="22" xfId="0" applyNumberFormat="1" applyFont="1" applyFill="1" applyBorder="1" applyAlignment="1">
      <alignment/>
    </xf>
    <xf numFmtId="0" fontId="14" fillId="50" borderId="0" xfId="0" applyNumberFormat="1" applyFont="1" applyFill="1" applyBorder="1" applyAlignment="1">
      <alignment horizontal="center" wrapText="1"/>
    </xf>
    <xf numFmtId="0" fontId="4" fillId="50" borderId="0" xfId="0" applyNumberFormat="1" applyFont="1" applyFill="1" applyAlignment="1">
      <alignment horizontal="left"/>
    </xf>
    <xf numFmtId="49" fontId="107" fillId="50" borderId="23" xfId="0" applyNumberFormat="1" applyFont="1" applyFill="1" applyBorder="1" applyAlignment="1" applyProtection="1">
      <alignment horizontal="center" vertical="center" wrapText="1"/>
      <protection/>
    </xf>
    <xf numFmtId="49" fontId="107" fillId="50" borderId="38" xfId="0" applyNumberFormat="1" applyFont="1" applyFill="1" applyBorder="1" applyAlignment="1" applyProtection="1">
      <alignment horizontal="center" vertical="center" wrapText="1"/>
      <protection/>
    </xf>
    <xf numFmtId="49" fontId="105" fillId="50" borderId="26" xfId="0" applyNumberFormat="1" applyFont="1" applyFill="1" applyBorder="1" applyAlignment="1" applyProtection="1">
      <alignment horizontal="center" vertical="center" wrapText="1"/>
      <protection/>
    </xf>
    <xf numFmtId="49" fontId="105" fillId="50" borderId="25" xfId="0" applyNumberFormat="1" applyFont="1" applyFill="1" applyBorder="1" applyAlignment="1" applyProtection="1">
      <alignment horizontal="center" vertical="center" wrapText="1"/>
      <protection/>
    </xf>
    <xf numFmtId="49" fontId="107" fillId="50" borderId="27" xfId="0" applyNumberFormat="1" applyFont="1" applyFill="1" applyBorder="1" applyAlignment="1" applyProtection="1">
      <alignment horizontal="center" vertical="center" wrapText="1"/>
      <protection/>
    </xf>
    <xf numFmtId="49" fontId="107" fillId="50" borderId="37" xfId="0" applyNumberFormat="1" applyFont="1" applyFill="1" applyBorder="1" applyAlignment="1" applyProtection="1">
      <alignment horizontal="center" vertical="center" wrapText="1"/>
      <protection/>
    </xf>
    <xf numFmtId="49" fontId="159" fillId="50" borderId="26" xfId="0" applyNumberFormat="1" applyFont="1" applyFill="1" applyBorder="1" applyAlignment="1" applyProtection="1">
      <alignment horizontal="center" vertical="center" wrapText="1"/>
      <protection/>
    </xf>
    <xf numFmtId="49" fontId="159" fillId="50" borderId="25" xfId="0" applyNumberFormat="1" applyFont="1" applyFill="1" applyBorder="1" applyAlignment="1" applyProtection="1">
      <alignment horizontal="center" vertical="center" wrapText="1"/>
      <protection/>
    </xf>
    <xf numFmtId="0" fontId="107" fillId="0" borderId="21" xfId="134" applyFont="1" applyFill="1" applyBorder="1" applyAlignment="1">
      <alignment horizontal="center" vertical="center" wrapText="1"/>
      <protection/>
    </xf>
    <xf numFmtId="0" fontId="107" fillId="0" borderId="38" xfId="134" applyFont="1" applyFill="1" applyBorder="1" applyAlignment="1">
      <alignment horizontal="center" vertical="center" wrapText="1"/>
      <protection/>
    </xf>
    <xf numFmtId="0" fontId="107" fillId="0" borderId="23" xfId="134" applyFont="1" applyFill="1" applyBorder="1" applyAlignment="1">
      <alignment horizontal="center" vertical="center" wrapText="1"/>
      <protection/>
    </xf>
    <xf numFmtId="3" fontId="18" fillId="50" borderId="0" xfId="0" applyNumberFormat="1" applyFont="1" applyFill="1" applyBorder="1" applyAlignment="1">
      <alignment horizontal="center" vertical="center"/>
    </xf>
    <xf numFmtId="49" fontId="5" fillId="50" borderId="0" xfId="0" applyNumberFormat="1" applyFont="1" applyFill="1" applyBorder="1" applyAlignment="1">
      <alignment wrapText="1"/>
    </xf>
    <xf numFmtId="0" fontId="15" fillId="50" borderId="0" xfId="0" applyNumberFormat="1" applyFont="1" applyFill="1" applyAlignment="1">
      <alignment horizontal="center"/>
    </xf>
    <xf numFmtId="49" fontId="5" fillId="50" borderId="0" xfId="0" applyNumberFormat="1" applyFont="1" applyFill="1" applyBorder="1" applyAlignment="1">
      <alignment/>
    </xf>
    <xf numFmtId="49" fontId="7" fillId="50" borderId="0" xfId="0" applyNumberFormat="1" applyFont="1" applyFill="1" applyAlignment="1">
      <alignment horizontal="center"/>
    </xf>
    <xf numFmtId="49" fontId="19" fillId="50" borderId="22" xfId="0" applyNumberFormat="1" applyFont="1" applyFill="1" applyBorder="1" applyAlignment="1">
      <alignment/>
    </xf>
    <xf numFmtId="0" fontId="25" fillId="0" borderId="0" xfId="0" applyNumberFormat="1" applyFont="1" applyFill="1" applyAlignment="1">
      <alignment horizontal="center"/>
    </xf>
    <xf numFmtId="49" fontId="16"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4" fillId="0" borderId="2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1" fontId="4" fillId="0" borderId="20" xfId="0" applyNumberFormat="1" applyFont="1" applyFill="1" applyBorder="1" applyAlignment="1">
      <alignment horizontal="center" vertical="center"/>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25" fillId="0" borderId="0" xfId="0" applyNumberFormat="1" applyFont="1" applyFill="1" applyBorder="1" applyAlignment="1">
      <alignment horizontal="center" wrapText="1"/>
    </xf>
    <xf numFmtId="49" fontId="151" fillId="50" borderId="26" xfId="0" applyNumberFormat="1" applyFont="1" applyFill="1" applyBorder="1" applyAlignment="1" applyProtection="1">
      <alignment horizontal="center" vertical="center" wrapText="1"/>
      <protection/>
    </xf>
    <xf numFmtId="49" fontId="151" fillId="50" borderId="41"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21" fillId="0" borderId="44"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18" fillId="0" borderId="0" xfId="0" applyNumberFormat="1" applyFont="1" applyFill="1" applyBorder="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0" fontId="0" fillId="0" borderId="0" xfId="0" applyNumberFormat="1" applyFont="1" applyFill="1" applyAlignment="1">
      <alignment horizontal="center"/>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49" fontId="152" fillId="50" borderId="26" xfId="0" applyNumberFormat="1" applyFont="1" applyFill="1" applyBorder="1" applyAlignment="1" applyProtection="1">
      <alignment horizontal="center" vertical="center" wrapText="1"/>
      <protection/>
    </xf>
    <xf numFmtId="49" fontId="152" fillId="50" borderId="25" xfId="0" applyNumberFormat="1" applyFont="1" applyFill="1" applyBorder="1" applyAlignment="1" applyProtection="1">
      <alignment horizontal="center" vertical="center" wrapText="1"/>
      <protection/>
    </xf>
  </cellXfs>
  <cellStyles count="15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Input" xfId="124"/>
    <cellStyle name="Input 2" xfId="125"/>
    <cellStyle name="Input 3" xfId="126"/>
    <cellStyle name="Linked Cell" xfId="127"/>
    <cellStyle name="Linked Cell 2" xfId="128"/>
    <cellStyle name="Linked Cell 3" xfId="129"/>
    <cellStyle name="Neutral" xfId="130"/>
    <cellStyle name="Neutral 2" xfId="131"/>
    <cellStyle name="Neutral 3" xfId="132"/>
    <cellStyle name="Normal 2" xfId="133"/>
    <cellStyle name="Normal 2 2" xfId="134"/>
    <cellStyle name="Normal 2 3" xfId="135"/>
    <cellStyle name="Normal 3" xfId="136"/>
    <cellStyle name="Normal 3 2" xfId="137"/>
    <cellStyle name="Normal 4" xfId="138"/>
    <cellStyle name="Normal 4 2" xfId="139"/>
    <cellStyle name="Normal 5" xfId="140"/>
    <cellStyle name="Normal_1. (Goc) THONG KE TT01 Toàn tỉnh Hoa Binh 6 tháng 2013" xfId="141"/>
    <cellStyle name="Normal_1. (Goc) THONG KE TT01 Toàn tỉnh Hoa Binh 6 tháng 2013 2" xfId="142"/>
    <cellStyle name="Normal_19 bieu m nhapcong thuc da sao 11 don vi " xfId="143"/>
    <cellStyle name="Normal_Bieu 8 - Bieu 19 toan tinh" xfId="144"/>
    <cellStyle name="Normal_Bieu mau TK tu 11 den 19 (ban phat hanh)" xfId="145"/>
    <cellStyle name="Note" xfId="146"/>
    <cellStyle name="Note 2" xfId="147"/>
    <cellStyle name="Note 3" xfId="148"/>
    <cellStyle name="Output" xfId="149"/>
    <cellStyle name="Output 2" xfId="150"/>
    <cellStyle name="Output 3" xfId="151"/>
    <cellStyle name="Percent" xfId="152"/>
    <cellStyle name="Percent 2" xfId="153"/>
    <cellStyle name="Percent 2 2" xfId="154"/>
    <cellStyle name="Percent 2 3" xfId="155"/>
    <cellStyle name="Percent 3" xfId="156"/>
    <cellStyle name="Percent 4" xfId="157"/>
    <cellStyle name="Title" xfId="158"/>
    <cellStyle name="Title 2" xfId="159"/>
    <cellStyle name="Title 3" xfId="160"/>
    <cellStyle name="Total" xfId="161"/>
    <cellStyle name="Total 2" xfId="162"/>
    <cellStyle name="Total 3" xfId="163"/>
    <cellStyle name="Warning Text" xfId="164"/>
    <cellStyle name="Warning Text 2" xfId="165"/>
    <cellStyle name="Warning Text 3"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457325" y="4000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457325" y="4000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800100" y="20002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800100" y="20002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6\TONG%20HOP%20BAO%20CAO%20THONG%20KE%20TOAN%20TINH\10%20THANG%202016\BAO%20CAO%20THONG%20KE%2010%20NAM%2022%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5"/>
      <sheetName val="06.1"/>
      <sheetName val="07.1"/>
      <sheetName val="06"/>
      <sheetName val="07"/>
      <sheetName val="08"/>
      <sheetName val="09"/>
      <sheetName val="10"/>
      <sheetName val="11"/>
      <sheetName val="12"/>
      <sheetName val="13"/>
      <sheetName val="14"/>
      <sheetName val="15"/>
      <sheetName val="16"/>
      <sheetName val="17"/>
      <sheetName val="18 "/>
      <sheetName val=" 19"/>
    </sheetNames>
    <sheetDataSet>
      <sheetData sheetId="11">
        <row r="4">
          <cell r="B4" t="str">
            <v>CTHADS TRÀ VINH</v>
          </cell>
        </row>
        <row r="5">
          <cell r="B5" t="str">
            <v>Nhan Quốc Hải</v>
          </cell>
        </row>
        <row r="6">
          <cell r="B6" t="str">
            <v>Trần Việt Hồng</v>
          </cell>
        </row>
        <row r="7">
          <cell r="B7" t="str">
            <v>PHÓ CỤC TRƯỞNG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92" t="s">
        <v>26</v>
      </c>
      <c r="B1" s="592"/>
      <c r="C1" s="591" t="s">
        <v>74</v>
      </c>
      <c r="D1" s="591"/>
      <c r="E1" s="591"/>
      <c r="F1" s="593" t="s">
        <v>70</v>
      </c>
      <c r="G1" s="593"/>
      <c r="H1" s="593"/>
    </row>
    <row r="2" spans="1:8" ht="33.75" customHeight="1">
      <c r="A2" s="594" t="s">
        <v>77</v>
      </c>
      <c r="B2" s="594"/>
      <c r="C2" s="591"/>
      <c r="D2" s="591"/>
      <c r="E2" s="591"/>
      <c r="F2" s="590" t="s">
        <v>71</v>
      </c>
      <c r="G2" s="590"/>
      <c r="H2" s="590"/>
    </row>
    <row r="3" spans="1:8" ht="19.5" customHeight="1">
      <c r="A3" s="6" t="s">
        <v>65</v>
      </c>
      <c r="B3" s="6"/>
      <c r="C3" s="24"/>
      <c r="D3" s="24"/>
      <c r="E3" s="24"/>
      <c r="F3" s="590" t="s">
        <v>72</v>
      </c>
      <c r="G3" s="590"/>
      <c r="H3" s="590"/>
    </row>
    <row r="4" spans="1:8" s="7" customFormat="1" ht="19.5" customHeight="1">
      <c r="A4" s="6"/>
      <c r="B4" s="6"/>
      <c r="D4" s="8"/>
      <c r="F4" s="9" t="s">
        <v>73</v>
      </c>
      <c r="G4" s="9"/>
      <c r="H4" s="9"/>
    </row>
    <row r="5" spans="1:8" s="23" customFormat="1" ht="36" customHeight="1">
      <c r="A5" s="572" t="s">
        <v>57</v>
      </c>
      <c r="B5" s="573"/>
      <c r="C5" s="576" t="s">
        <v>68</v>
      </c>
      <c r="D5" s="577"/>
      <c r="E5" s="578" t="s">
        <v>67</v>
      </c>
      <c r="F5" s="578"/>
      <c r="G5" s="578"/>
      <c r="H5" s="579"/>
    </row>
    <row r="6" spans="1:8" s="23" customFormat="1" ht="20.25" customHeight="1">
      <c r="A6" s="574"/>
      <c r="B6" s="575"/>
      <c r="C6" s="580" t="s">
        <v>3</v>
      </c>
      <c r="D6" s="580" t="s">
        <v>75</v>
      </c>
      <c r="E6" s="582" t="s">
        <v>69</v>
      </c>
      <c r="F6" s="579"/>
      <c r="G6" s="582" t="s">
        <v>76</v>
      </c>
      <c r="H6" s="579"/>
    </row>
    <row r="7" spans="1:8" s="23" customFormat="1" ht="52.5" customHeight="1">
      <c r="A7" s="574"/>
      <c r="B7" s="575"/>
      <c r="C7" s="581"/>
      <c r="D7" s="581"/>
      <c r="E7" s="5" t="s">
        <v>3</v>
      </c>
      <c r="F7" s="5" t="s">
        <v>9</v>
      </c>
      <c r="G7" s="5" t="s">
        <v>3</v>
      </c>
      <c r="H7" s="5" t="s">
        <v>9</v>
      </c>
    </row>
    <row r="8" spans="1:8" ht="15" customHeight="1">
      <c r="A8" s="584" t="s">
        <v>6</v>
      </c>
      <c r="B8" s="585"/>
      <c r="C8" s="10">
        <v>1</v>
      </c>
      <c r="D8" s="10" t="s">
        <v>44</v>
      </c>
      <c r="E8" s="10" t="s">
        <v>49</v>
      </c>
      <c r="F8" s="10" t="s">
        <v>58</v>
      </c>
      <c r="G8" s="10" t="s">
        <v>59</v>
      </c>
      <c r="H8" s="10" t="s">
        <v>60</v>
      </c>
    </row>
    <row r="9" spans="1:8" ht="26.25" customHeight="1">
      <c r="A9" s="586" t="s">
        <v>33</v>
      </c>
      <c r="B9" s="587"/>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88" t="s">
        <v>56</v>
      </c>
      <c r="C16" s="588"/>
      <c r="D16" s="26"/>
      <c r="E16" s="569" t="s">
        <v>19</v>
      </c>
      <c r="F16" s="569"/>
      <c r="G16" s="569"/>
      <c r="H16" s="569"/>
    </row>
    <row r="17" spans="2:8" ht="15.75" customHeight="1">
      <c r="B17" s="588"/>
      <c r="C17" s="588"/>
      <c r="D17" s="26"/>
      <c r="E17" s="570" t="s">
        <v>38</v>
      </c>
      <c r="F17" s="570"/>
      <c r="G17" s="570"/>
      <c r="H17" s="570"/>
    </row>
    <row r="18" spans="2:8" s="27" customFormat="1" ht="15.75" customHeight="1">
      <c r="B18" s="588"/>
      <c r="C18" s="588"/>
      <c r="D18" s="28"/>
      <c r="E18" s="571" t="s">
        <v>55</v>
      </c>
      <c r="F18" s="571"/>
      <c r="G18" s="571"/>
      <c r="H18" s="571"/>
    </row>
    <row r="20" ht="15.75">
      <c r="B20" s="19"/>
    </row>
    <row r="22" ht="15.75" hidden="1">
      <c r="A22" s="20" t="s">
        <v>41</v>
      </c>
    </row>
    <row r="23" spans="1:3" ht="15.75" hidden="1">
      <c r="A23" s="21"/>
      <c r="B23" s="589" t="s">
        <v>50</v>
      </c>
      <c r="C23" s="589"/>
    </row>
    <row r="24" spans="1:8" ht="15.75" customHeight="1" hidden="1">
      <c r="A24" s="22" t="s">
        <v>25</v>
      </c>
      <c r="B24" s="583" t="s">
        <v>53</v>
      </c>
      <c r="C24" s="583"/>
      <c r="D24" s="22"/>
      <c r="E24" s="22"/>
      <c r="F24" s="22"/>
      <c r="G24" s="22"/>
      <c r="H24" s="22"/>
    </row>
    <row r="25" spans="1:8" ht="15" customHeight="1" hidden="1">
      <c r="A25" s="22"/>
      <c r="B25" s="583" t="s">
        <v>54</v>
      </c>
      <c r="C25" s="583"/>
      <c r="D25" s="583"/>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64" t="s">
        <v>229</v>
      </c>
      <c r="B1" s="764"/>
      <c r="C1" s="764"/>
      <c r="D1" s="767" t="s">
        <v>341</v>
      </c>
      <c r="E1" s="767"/>
      <c r="F1" s="767"/>
      <c r="G1" s="767"/>
      <c r="H1" s="767"/>
      <c r="I1" s="767"/>
      <c r="J1" s="191" t="s">
        <v>342</v>
      </c>
      <c r="K1" s="322"/>
      <c r="L1" s="322"/>
    </row>
    <row r="2" spans="1:12" ht="18.75" customHeight="1">
      <c r="A2" s="765" t="s">
        <v>300</v>
      </c>
      <c r="B2" s="765"/>
      <c r="C2" s="765"/>
      <c r="D2" s="849" t="s">
        <v>230</v>
      </c>
      <c r="E2" s="849"/>
      <c r="F2" s="849"/>
      <c r="G2" s="849"/>
      <c r="H2" s="849"/>
      <c r="I2" s="849"/>
      <c r="J2" s="764" t="s">
        <v>343</v>
      </c>
      <c r="K2" s="764"/>
      <c r="L2" s="764"/>
    </row>
    <row r="3" spans="1:12" ht="17.25">
      <c r="A3" s="765" t="s">
        <v>252</v>
      </c>
      <c r="B3" s="765"/>
      <c r="C3" s="765"/>
      <c r="D3" s="850" t="s">
        <v>344</v>
      </c>
      <c r="E3" s="851"/>
      <c r="F3" s="851"/>
      <c r="G3" s="851"/>
      <c r="H3" s="851"/>
      <c r="I3" s="851"/>
      <c r="J3" s="194" t="s">
        <v>360</v>
      </c>
      <c r="K3" s="194"/>
      <c r="L3" s="194"/>
    </row>
    <row r="4" spans="1:12" ht="15.75">
      <c r="A4" s="853" t="s">
        <v>345</v>
      </c>
      <c r="B4" s="853"/>
      <c r="C4" s="853"/>
      <c r="D4" s="854"/>
      <c r="E4" s="854"/>
      <c r="F4" s="854"/>
      <c r="G4" s="854"/>
      <c r="H4" s="854"/>
      <c r="I4" s="854"/>
      <c r="J4" s="751" t="s">
        <v>302</v>
      </c>
      <c r="K4" s="751"/>
      <c r="L4" s="751"/>
    </row>
    <row r="5" spans="1:13" ht="15.75">
      <c r="A5" s="324"/>
      <c r="B5" s="324"/>
      <c r="C5" s="325"/>
      <c r="D5" s="325"/>
      <c r="E5" s="193"/>
      <c r="J5" s="326" t="s">
        <v>346</v>
      </c>
      <c r="K5" s="241"/>
      <c r="L5" s="241"/>
      <c r="M5" s="241"/>
    </row>
    <row r="6" spans="1:13" s="329" customFormat="1" ht="24.75" customHeight="1">
      <c r="A6" s="857" t="s">
        <v>57</v>
      </c>
      <c r="B6" s="858"/>
      <c r="C6" s="852" t="s">
        <v>347</v>
      </c>
      <c r="D6" s="852"/>
      <c r="E6" s="852"/>
      <c r="F6" s="852"/>
      <c r="G6" s="852"/>
      <c r="H6" s="852"/>
      <c r="I6" s="852" t="s">
        <v>231</v>
      </c>
      <c r="J6" s="852"/>
      <c r="K6" s="852"/>
      <c r="L6" s="852"/>
      <c r="M6" s="328"/>
    </row>
    <row r="7" spans="1:13" s="329" customFormat="1" ht="17.25" customHeight="1">
      <c r="A7" s="859"/>
      <c r="B7" s="860"/>
      <c r="C7" s="852" t="s">
        <v>31</v>
      </c>
      <c r="D7" s="852"/>
      <c r="E7" s="852" t="s">
        <v>7</v>
      </c>
      <c r="F7" s="852"/>
      <c r="G7" s="852"/>
      <c r="H7" s="852"/>
      <c r="I7" s="852" t="s">
        <v>232</v>
      </c>
      <c r="J7" s="852"/>
      <c r="K7" s="852" t="s">
        <v>233</v>
      </c>
      <c r="L7" s="852"/>
      <c r="M7" s="328"/>
    </row>
    <row r="8" spans="1:12" s="329" customFormat="1" ht="27.75" customHeight="1">
      <c r="A8" s="859"/>
      <c r="B8" s="860"/>
      <c r="C8" s="852"/>
      <c r="D8" s="852"/>
      <c r="E8" s="852" t="s">
        <v>234</v>
      </c>
      <c r="F8" s="852"/>
      <c r="G8" s="852" t="s">
        <v>235</v>
      </c>
      <c r="H8" s="852"/>
      <c r="I8" s="852"/>
      <c r="J8" s="852"/>
      <c r="K8" s="852"/>
      <c r="L8" s="852"/>
    </row>
    <row r="9" spans="1:12" s="329" customFormat="1" ht="24.75" customHeight="1">
      <c r="A9" s="861"/>
      <c r="B9" s="862"/>
      <c r="C9" s="327" t="s">
        <v>236</v>
      </c>
      <c r="D9" s="327" t="s">
        <v>9</v>
      </c>
      <c r="E9" s="327" t="s">
        <v>3</v>
      </c>
      <c r="F9" s="327" t="s">
        <v>237</v>
      </c>
      <c r="G9" s="327" t="s">
        <v>3</v>
      </c>
      <c r="H9" s="327" t="s">
        <v>237</v>
      </c>
      <c r="I9" s="327" t="s">
        <v>3</v>
      </c>
      <c r="J9" s="327" t="s">
        <v>237</v>
      </c>
      <c r="K9" s="327" t="s">
        <v>3</v>
      </c>
      <c r="L9" s="327" t="s">
        <v>237</v>
      </c>
    </row>
    <row r="10" spans="1:12" s="331" customFormat="1" ht="15.75">
      <c r="A10" s="785" t="s">
        <v>6</v>
      </c>
      <c r="B10" s="786"/>
      <c r="C10" s="330">
        <v>1</v>
      </c>
      <c r="D10" s="330">
        <v>2</v>
      </c>
      <c r="E10" s="330">
        <v>3</v>
      </c>
      <c r="F10" s="330">
        <v>4</v>
      </c>
      <c r="G10" s="330">
        <v>5</v>
      </c>
      <c r="H10" s="330">
        <v>6</v>
      </c>
      <c r="I10" s="330">
        <v>7</v>
      </c>
      <c r="J10" s="330">
        <v>8</v>
      </c>
      <c r="K10" s="330">
        <v>9</v>
      </c>
      <c r="L10" s="330">
        <v>10</v>
      </c>
    </row>
    <row r="11" spans="1:12" s="331" customFormat="1" ht="30.75" customHeight="1">
      <c r="A11" s="775" t="s">
        <v>297</v>
      </c>
      <c r="B11" s="776"/>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78" t="s">
        <v>298</v>
      </c>
      <c r="B12" s="779"/>
      <c r="C12" s="249">
        <v>0</v>
      </c>
      <c r="D12" s="249">
        <v>0</v>
      </c>
      <c r="E12" s="249">
        <v>0</v>
      </c>
      <c r="F12" s="249">
        <v>0</v>
      </c>
      <c r="G12" s="249">
        <v>0</v>
      </c>
      <c r="H12" s="249">
        <v>0</v>
      </c>
      <c r="I12" s="249">
        <v>0</v>
      </c>
      <c r="J12" s="249">
        <v>0</v>
      </c>
      <c r="K12" s="249">
        <v>0</v>
      </c>
      <c r="L12" s="249">
        <v>0</v>
      </c>
    </row>
    <row r="13" spans="1:32" s="331" customFormat="1" ht="17.25" customHeight="1">
      <c r="A13" s="781" t="s">
        <v>30</v>
      </c>
      <c r="B13" s="761"/>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267</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299</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270</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271</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272</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273</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278</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280</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281</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282</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284</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73" t="s">
        <v>285</v>
      </c>
      <c r="C28" s="773"/>
      <c r="D28" s="773"/>
      <c r="E28" s="204"/>
      <c r="F28" s="258"/>
      <c r="G28" s="258"/>
      <c r="H28" s="772" t="s">
        <v>285</v>
      </c>
      <c r="I28" s="772"/>
      <c r="J28" s="772"/>
      <c r="K28" s="772"/>
      <c r="L28" s="772"/>
      <c r="AG28" s="192" t="s">
        <v>286</v>
      </c>
      <c r="AI28" s="190">
        <f>82/88</f>
        <v>0.9318181818181818</v>
      </c>
    </row>
    <row r="29" spans="1:12" s="192" customFormat="1" ht="19.5" customHeight="1">
      <c r="A29" s="202"/>
      <c r="B29" s="774" t="s">
        <v>238</v>
      </c>
      <c r="C29" s="774"/>
      <c r="D29" s="774"/>
      <c r="E29" s="204"/>
      <c r="F29" s="205"/>
      <c r="G29" s="205"/>
      <c r="H29" s="777" t="s">
        <v>156</v>
      </c>
      <c r="I29" s="777"/>
      <c r="J29" s="777"/>
      <c r="K29" s="777"/>
      <c r="L29" s="777"/>
    </row>
    <row r="30" spans="1:12" s="196" customFormat="1" ht="15" customHeight="1">
      <c r="A30" s="202"/>
      <c r="B30" s="856"/>
      <c r="C30" s="856"/>
      <c r="D30" s="856"/>
      <c r="E30" s="204"/>
      <c r="F30" s="205"/>
      <c r="G30" s="205"/>
      <c r="H30" s="729"/>
      <c r="I30" s="729"/>
      <c r="J30" s="729"/>
      <c r="K30" s="729"/>
      <c r="L30" s="72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63" t="s">
        <v>289</v>
      </c>
      <c r="C33" s="863"/>
      <c r="D33" s="863"/>
      <c r="E33" s="336"/>
      <c r="F33" s="336"/>
      <c r="G33" s="336"/>
      <c r="H33" s="336"/>
      <c r="I33" s="336"/>
      <c r="J33" s="337" t="s">
        <v>289</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55" t="s">
        <v>239</v>
      </c>
      <c r="C37" s="855"/>
      <c r="D37" s="855"/>
      <c r="E37" s="855"/>
      <c r="F37" s="855"/>
      <c r="G37" s="855"/>
      <c r="H37" s="855"/>
      <c r="I37" s="855"/>
      <c r="J37" s="855"/>
      <c r="K37" s="339"/>
      <c r="L37" s="294"/>
      <c r="M37" s="265"/>
      <c r="N37" s="265"/>
      <c r="O37" s="265"/>
    </row>
    <row r="38" spans="2:12" s="184" customFormat="1" ht="18.75" hidden="1">
      <c r="B38" s="236" t="s">
        <v>240</v>
      </c>
      <c r="C38" s="186"/>
      <c r="D38" s="186"/>
      <c r="E38" s="186"/>
      <c r="F38" s="186"/>
      <c r="G38" s="186"/>
      <c r="H38" s="186"/>
      <c r="I38" s="186"/>
      <c r="J38" s="186"/>
      <c r="K38" s="338"/>
      <c r="L38" s="186"/>
    </row>
    <row r="39" spans="2:12" ht="18.75" hidden="1">
      <c r="B39" s="340" t="s">
        <v>241</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26" t="s">
        <v>331</v>
      </c>
      <c r="C41" s="626"/>
      <c r="D41" s="626"/>
      <c r="E41" s="210"/>
      <c r="F41" s="210"/>
      <c r="G41" s="182"/>
      <c r="H41" s="627" t="s">
        <v>246</v>
      </c>
      <c r="I41" s="627"/>
      <c r="J41" s="627"/>
      <c r="K41" s="627"/>
      <c r="L41" s="627"/>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64" t="s">
        <v>373</v>
      </c>
      <c r="M1" s="865"/>
      <c r="N1" s="865"/>
      <c r="O1" s="365"/>
      <c r="P1" s="365"/>
      <c r="Q1" s="365"/>
      <c r="R1" s="365"/>
      <c r="S1" s="365"/>
      <c r="T1" s="365"/>
      <c r="U1" s="365"/>
      <c r="V1" s="365"/>
      <c r="W1" s="365"/>
      <c r="X1" s="365"/>
      <c r="Y1" s="366"/>
    </row>
    <row r="2" spans="11:17" ht="34.5" customHeight="1">
      <c r="K2" s="349"/>
      <c r="L2" s="866" t="s">
        <v>380</v>
      </c>
      <c r="M2" s="867"/>
      <c r="N2" s="868"/>
      <c r="O2" s="29"/>
      <c r="P2" s="351"/>
      <c r="Q2" s="347"/>
    </row>
    <row r="3" spans="11:18" ht="31.5" customHeight="1">
      <c r="K3" s="349"/>
      <c r="L3" s="354" t="s">
        <v>389</v>
      </c>
      <c r="M3" s="355" t="e">
        <f>#REF!</f>
        <v>#REF!</v>
      </c>
      <c r="N3" s="355"/>
      <c r="O3" s="355"/>
      <c r="P3" s="352"/>
      <c r="Q3" s="348"/>
      <c r="R3" s="345"/>
    </row>
    <row r="4" spans="11:18" ht="30" customHeight="1">
      <c r="K4" s="349"/>
      <c r="L4" s="356" t="s">
        <v>374</v>
      </c>
      <c r="M4" s="357" t="e">
        <f>#REF!</f>
        <v>#REF!</v>
      </c>
      <c r="N4" s="355"/>
      <c r="O4" s="355"/>
      <c r="P4" s="352"/>
      <c r="Q4" s="348"/>
      <c r="R4" s="345"/>
    </row>
    <row r="5" spans="11:18" ht="31.5" customHeight="1">
      <c r="K5" s="349"/>
      <c r="L5" s="356" t="s">
        <v>375</v>
      </c>
      <c r="M5" s="357" t="e">
        <f>#REF!</f>
        <v>#REF!</v>
      </c>
      <c r="N5" s="355"/>
      <c r="O5" s="355"/>
      <c r="P5" s="352"/>
      <c r="Q5" s="348"/>
      <c r="R5" s="345"/>
    </row>
    <row r="6" spans="11:18" ht="27" customHeight="1">
      <c r="K6" s="349"/>
      <c r="L6" s="354" t="s">
        <v>376</v>
      </c>
      <c r="M6" s="355" t="e">
        <f>#REF!</f>
        <v>#REF!</v>
      </c>
      <c r="N6" s="355"/>
      <c r="O6" s="355"/>
      <c r="P6" s="352"/>
      <c r="Q6" s="348"/>
      <c r="R6" s="345"/>
    </row>
    <row r="7" spans="11:18" s="342" customFormat="1" ht="30" customHeight="1">
      <c r="K7" s="350"/>
      <c r="L7" s="358" t="s">
        <v>391</v>
      </c>
      <c r="M7" s="355" t="e">
        <f>#REF!</f>
        <v>#REF!</v>
      </c>
      <c r="N7" s="355"/>
      <c r="O7" s="355"/>
      <c r="P7" s="352"/>
      <c r="Q7" s="348"/>
      <c r="R7" s="345"/>
    </row>
    <row r="8" spans="11:18" ht="30.75" customHeight="1">
      <c r="K8" s="349"/>
      <c r="L8" s="359" t="s">
        <v>390</v>
      </c>
      <c r="M8" s="360">
        <f>'[7]M6 Tong hop Viec CHV '!$C$12</f>
        <v>1489</v>
      </c>
      <c r="N8" s="355"/>
      <c r="O8" s="355"/>
      <c r="P8" s="352"/>
      <c r="Q8" s="348"/>
      <c r="R8" s="345"/>
    </row>
    <row r="9" spans="11:18" ht="33" customHeight="1">
      <c r="K9" s="349"/>
      <c r="L9" s="367" t="s">
        <v>393</v>
      </c>
      <c r="M9" s="368" t="e">
        <f>(M7-M8)/M8</f>
        <v>#REF!</v>
      </c>
      <c r="N9" s="355"/>
      <c r="O9" s="355"/>
      <c r="P9" s="352"/>
      <c r="Q9" s="348"/>
      <c r="R9" s="345"/>
    </row>
    <row r="10" spans="11:18" ht="33" customHeight="1">
      <c r="K10" s="349"/>
      <c r="L10" s="354" t="s">
        <v>392</v>
      </c>
      <c r="M10" s="355" t="e">
        <f>#REF!</f>
        <v>#REF!</v>
      </c>
      <c r="N10" s="355" t="s">
        <v>377</v>
      </c>
      <c r="O10" s="361" t="e">
        <f>M10/M7</f>
        <v>#REF!</v>
      </c>
      <c r="P10" s="352"/>
      <c r="Q10" s="348"/>
      <c r="R10" s="345"/>
    </row>
    <row r="11" spans="11:18" ht="22.5" customHeight="1">
      <c r="K11" s="349"/>
      <c r="L11" s="354" t="s">
        <v>394</v>
      </c>
      <c r="M11" s="355" t="e">
        <f>#REF!</f>
        <v>#REF!</v>
      </c>
      <c r="N11" s="355" t="s">
        <v>377</v>
      </c>
      <c r="O11" s="361" t="e">
        <f>M11/M7</f>
        <v>#REF!</v>
      </c>
      <c r="P11" s="352"/>
      <c r="Q11" s="348"/>
      <c r="R11" s="345"/>
    </row>
    <row r="12" spans="11:18" ht="34.5" customHeight="1">
      <c r="K12" s="349"/>
      <c r="L12" s="354" t="s">
        <v>395</v>
      </c>
      <c r="M12" s="355" t="e">
        <f>#REF!+#REF!</f>
        <v>#REF!</v>
      </c>
      <c r="N12" s="354"/>
      <c r="O12" s="354"/>
      <c r="P12" s="346"/>
      <c r="R12" s="346"/>
    </row>
    <row r="13" spans="11:18" ht="33.75" customHeight="1">
      <c r="K13" s="349"/>
      <c r="L13" s="354" t="s">
        <v>396</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397</v>
      </c>
      <c r="M16" s="360">
        <f>'[7]M6 Tong hop Viec CHV '!$H$12+'[7]M6 Tong hop Viec CHV '!$I$12+'[7]M6 Tong hop Viec CHV '!$K$12</f>
        <v>749</v>
      </c>
      <c r="N16" s="355"/>
      <c r="O16" s="355"/>
      <c r="P16" s="352"/>
      <c r="R16" s="346"/>
    </row>
    <row r="17" spans="11:18" ht="24.75" customHeight="1">
      <c r="K17" s="349"/>
      <c r="L17" s="367" t="s">
        <v>398</v>
      </c>
      <c r="M17" s="362">
        <f>M16/M8</f>
        <v>0.5030221625251847</v>
      </c>
      <c r="N17" s="355"/>
      <c r="O17" s="355"/>
      <c r="P17" s="352"/>
      <c r="R17" s="346"/>
    </row>
    <row r="18" spans="11:18" ht="26.25" customHeight="1">
      <c r="K18" s="349"/>
      <c r="L18" s="367" t="s">
        <v>378</v>
      </c>
      <c r="M18" s="368" t="e">
        <f>M13-M17</f>
        <v>#REF!</v>
      </c>
      <c r="N18" s="355"/>
      <c r="O18" s="355"/>
      <c r="P18" s="352"/>
      <c r="R18" s="346"/>
    </row>
    <row r="19" spans="11:18" ht="24.75" customHeight="1">
      <c r="K19" s="349"/>
      <c r="L19" s="354" t="s">
        <v>399</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400</v>
      </c>
      <c r="M26" s="361" t="e">
        <f>M19/#REF!</f>
        <v>#REF!</v>
      </c>
      <c r="N26" s="355"/>
      <c r="O26" s="355"/>
      <c r="P26" s="352"/>
      <c r="R26" s="346"/>
    </row>
    <row r="27" spans="11:18" ht="24.75" customHeight="1">
      <c r="K27" s="349"/>
      <c r="L27" s="359" t="s">
        <v>401</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402</v>
      </c>
      <c r="M30" s="361" t="e">
        <f>M26-M27</f>
        <v>#REF!</v>
      </c>
      <c r="N30" s="355"/>
      <c r="O30" s="355"/>
      <c r="P30" s="352"/>
      <c r="R30" s="346"/>
    </row>
    <row r="31" spans="11:18" ht="24.75" customHeight="1">
      <c r="K31" s="349"/>
      <c r="L31" s="354" t="s">
        <v>403</v>
      </c>
      <c r="M31" s="355" t="e">
        <f>#REF!</f>
        <v>#REF!</v>
      </c>
      <c r="N31" s="355"/>
      <c r="O31" s="355"/>
      <c r="P31" s="352"/>
      <c r="R31" s="346"/>
    </row>
    <row r="32" spans="11:18" ht="24.75" customHeight="1">
      <c r="K32" s="349"/>
      <c r="L32" s="359" t="s">
        <v>404</v>
      </c>
      <c r="M32" s="360">
        <f>'[7]M6 Tong hop Viec CHV '!$R$12</f>
        <v>719</v>
      </c>
      <c r="N32" s="355"/>
      <c r="O32" s="355"/>
      <c r="P32" s="352"/>
      <c r="R32" s="346"/>
    </row>
    <row r="33" spans="11:18" ht="24.75" customHeight="1">
      <c r="K33" s="349"/>
      <c r="L33" s="367" t="s">
        <v>405</v>
      </c>
      <c r="M33" s="369" t="e">
        <f>M31-M32</f>
        <v>#REF!</v>
      </c>
      <c r="N33" s="369" t="s">
        <v>379</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381</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406</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375</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407</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408</v>
      </c>
      <c r="M50" s="355" t="e">
        <f>#REF!</f>
        <v>#REF!</v>
      </c>
      <c r="N50" s="355"/>
      <c r="O50" s="355"/>
      <c r="P50" s="346"/>
      <c r="R50" s="346"/>
    </row>
    <row r="51" spans="11:18" ht="24.75" customHeight="1">
      <c r="K51" s="349"/>
      <c r="L51" s="364" t="s">
        <v>409</v>
      </c>
      <c r="M51" s="360">
        <f>'[7]M7 Thop tien CHV'!$C$12</f>
        <v>54227822.442</v>
      </c>
      <c r="N51" s="355"/>
      <c r="O51" s="355"/>
      <c r="P51" s="346"/>
      <c r="R51" s="346"/>
    </row>
    <row r="52" spans="11:18" ht="24.75" customHeight="1">
      <c r="K52" s="349"/>
      <c r="L52" s="377" t="s">
        <v>382</v>
      </c>
      <c r="M52" s="369" t="e">
        <f>M50-M51</f>
        <v>#REF!</v>
      </c>
      <c r="N52" s="355"/>
      <c r="O52" s="355"/>
      <c r="P52" s="346"/>
      <c r="R52" s="346"/>
    </row>
    <row r="53" spans="11:18" ht="24.75" customHeight="1">
      <c r="K53" s="349"/>
      <c r="L53" s="377" t="s">
        <v>383</v>
      </c>
      <c r="M53" s="368" t="e">
        <f>(M52/M51)</f>
        <v>#REF!</v>
      </c>
      <c r="N53" s="355"/>
      <c r="O53" s="355"/>
      <c r="P53" s="346"/>
      <c r="R53" s="346"/>
    </row>
    <row r="54" spans="11:18" ht="24.75" customHeight="1">
      <c r="K54" s="349"/>
      <c r="L54" s="363" t="s">
        <v>410</v>
      </c>
      <c r="M54" s="355" t="e">
        <f>#REF!</f>
        <v>#REF!</v>
      </c>
      <c r="N54" s="355" t="s">
        <v>384</v>
      </c>
      <c r="O54" s="361" t="e">
        <f>#REF!/#REF!</f>
        <v>#REF!</v>
      </c>
      <c r="P54" s="346"/>
      <c r="R54" s="346"/>
    </row>
    <row r="55" spans="11:18" ht="24.75" customHeight="1">
      <c r="K55" s="349"/>
      <c r="L55" s="363" t="s">
        <v>411</v>
      </c>
      <c r="M55" s="355" t="e">
        <f>#REF!</f>
        <v>#REF!</v>
      </c>
      <c r="N55" s="355" t="s">
        <v>384</v>
      </c>
      <c r="O55" s="361" t="e">
        <f>#REF!/#REF!</f>
        <v>#REF!</v>
      </c>
      <c r="P55" s="346"/>
      <c r="R55" s="346"/>
    </row>
    <row r="56" spans="11:18" ht="24.75" customHeight="1">
      <c r="K56" s="349"/>
      <c r="L56" s="363" t="s">
        <v>412</v>
      </c>
      <c r="M56" s="355" t="e">
        <f>#REF!+#REF!+#REF!</f>
        <v>#REF!</v>
      </c>
      <c r="N56" s="355" t="s">
        <v>384</v>
      </c>
      <c r="O56" s="361" t="e">
        <f>M56/#REF!</f>
        <v>#REF!</v>
      </c>
      <c r="P56" s="346"/>
      <c r="R56" s="346"/>
    </row>
    <row r="57" spans="11:18" ht="24.75" customHeight="1">
      <c r="K57" s="349"/>
      <c r="L57" s="364" t="s">
        <v>413</v>
      </c>
      <c r="M57" s="360">
        <f>'[7]M7 Thop tien CHV'!$H$12+'[7]M7 Thop tien CHV'!$I$12+'[7]M7 Thop tien CHV'!$K$12</f>
        <v>2217726.5</v>
      </c>
      <c r="N57" s="360" t="s">
        <v>384</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414</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415</v>
      </c>
      <c r="M63" s="355" t="e">
        <f>#REF!</f>
        <v>#REF!</v>
      </c>
      <c r="N63" s="355" t="s">
        <v>385</v>
      </c>
      <c r="O63" s="361" t="e">
        <f>#REF!/#REF!</f>
        <v>#REF!</v>
      </c>
      <c r="P63" s="346"/>
      <c r="R63" s="346"/>
    </row>
    <row r="64" spans="11:16" ht="24.75" customHeight="1">
      <c r="K64" s="349"/>
      <c r="L64" s="364" t="s">
        <v>416</v>
      </c>
      <c r="M64" s="360">
        <f>'[7]M7 Thop tien CHV'!$H$12</f>
        <v>2212774.5</v>
      </c>
      <c r="N64" s="360" t="s">
        <v>386</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417</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418</v>
      </c>
      <c r="M72" s="355" t="e">
        <f>#REF!</f>
        <v>#REF!</v>
      </c>
      <c r="N72" s="355"/>
      <c r="O72" s="355"/>
      <c r="P72" s="346"/>
    </row>
    <row r="73" spans="11:16" ht="24.75" customHeight="1">
      <c r="K73" s="349"/>
      <c r="L73" s="364" t="s">
        <v>419</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387</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388</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tabSelected="1" view="pageBreakPreview" zoomScale="90" zoomScaleSheetLayoutView="90" zoomScalePageLayoutView="0" workbookViewId="0" topLeftCell="A1">
      <selection activeCell="B15" sqref="B15"/>
    </sheetView>
  </sheetViews>
  <sheetFormatPr defaultColWidth="9.00390625" defaultRowHeight="15.75"/>
  <cols>
    <col min="1" max="1" width="23.50390625" style="0" customWidth="1"/>
    <col min="2" max="2" width="66.125" style="0" customWidth="1"/>
  </cols>
  <sheetData>
    <row r="2" spans="1:2" ht="62.25" customHeight="1">
      <c r="A2" s="869" t="s">
        <v>428</v>
      </c>
      <c r="B2" s="869"/>
    </row>
    <row r="3" spans="1:2" ht="22.5" customHeight="1">
      <c r="A3" s="383" t="s">
        <v>421</v>
      </c>
      <c r="B3" s="392" t="s">
        <v>569</v>
      </c>
    </row>
    <row r="4" spans="1:2" ht="22.5" customHeight="1">
      <c r="A4" s="383" t="s">
        <v>420</v>
      </c>
      <c r="B4" s="384" t="s">
        <v>430</v>
      </c>
    </row>
    <row r="5" spans="1:2" ht="22.5" customHeight="1">
      <c r="A5" s="383" t="s">
        <v>422</v>
      </c>
      <c r="B5" s="391" t="s">
        <v>431</v>
      </c>
    </row>
    <row r="6" spans="1:2" ht="22.5" customHeight="1">
      <c r="A6" s="383" t="s">
        <v>423</v>
      </c>
      <c r="B6" s="391" t="s">
        <v>432</v>
      </c>
    </row>
    <row r="7" spans="1:2" ht="22.5" customHeight="1">
      <c r="A7" s="383" t="s">
        <v>424</v>
      </c>
      <c r="B7" s="391" t="s">
        <v>433</v>
      </c>
    </row>
    <row r="8" spans="1:2" ht="15.75">
      <c r="A8" s="385" t="s">
        <v>425</v>
      </c>
      <c r="B8" s="475" t="s">
        <v>570</v>
      </c>
    </row>
    <row r="10" spans="1:2" ht="62.25" customHeight="1">
      <c r="A10" s="870" t="s">
        <v>429</v>
      </c>
      <c r="B10" s="870"/>
    </row>
    <row r="11" spans="1:2" ht="15.75">
      <c r="A11" s="871"/>
      <c r="B11" s="871"/>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U34"/>
  <sheetViews>
    <sheetView view="pageBreakPreview" zoomScale="110" zoomScaleNormal="80" zoomScaleSheetLayoutView="110" zoomScalePageLayoutView="0" workbookViewId="0" topLeftCell="C6">
      <selection activeCell="I27" sqref="I27"/>
    </sheetView>
  </sheetViews>
  <sheetFormatPr defaultColWidth="9.00390625" defaultRowHeight="15.75"/>
  <cols>
    <col min="1" max="1" width="4.75390625" style="0" customWidth="1"/>
    <col min="2" max="2" width="14.375" style="0" customWidth="1"/>
    <col min="3" max="3" width="5.625" style="0" customWidth="1"/>
    <col min="4" max="4" width="5.75390625" style="0" customWidth="1"/>
    <col min="5" max="5" width="5.50390625" style="0" customWidth="1"/>
    <col min="6" max="6" width="6.25390625" style="0" customWidth="1"/>
    <col min="7" max="7" width="6.00390625" style="0" customWidth="1"/>
    <col min="8" max="8" width="5.50390625" style="0" customWidth="1"/>
    <col min="9" max="9" width="5.125" style="0" customWidth="1"/>
    <col min="10" max="10" width="5.00390625" style="0" customWidth="1"/>
    <col min="11" max="11" width="3.875" style="0" customWidth="1"/>
    <col min="12" max="12" width="5.125" style="0" customWidth="1"/>
    <col min="13" max="13" width="4.25390625" style="0" customWidth="1"/>
    <col min="14" max="15" width="3.75390625" style="0" customWidth="1"/>
    <col min="16" max="16" width="4.375" style="0" customWidth="1"/>
    <col min="17" max="17" width="4.75390625" style="0" customWidth="1"/>
    <col min="18" max="18" width="5.125" style="0" customWidth="1"/>
    <col min="19" max="19" width="8.00390625" style="0" customWidth="1"/>
    <col min="20" max="20" width="7.375" style="0" customWidth="1"/>
    <col min="21" max="21" width="6.125" style="0" customWidth="1"/>
  </cols>
  <sheetData>
    <row r="1" spans="1:21" ht="15.75">
      <c r="A1" s="394"/>
      <c r="B1" s="394"/>
      <c r="C1" s="394"/>
      <c r="D1" s="394"/>
      <c r="E1" s="394"/>
      <c r="F1" s="394"/>
      <c r="G1" s="394"/>
      <c r="H1" s="394"/>
      <c r="I1" s="394"/>
      <c r="J1" s="394"/>
      <c r="K1" s="394"/>
      <c r="L1" s="394"/>
      <c r="M1" s="394"/>
      <c r="N1" s="394"/>
      <c r="O1" s="394"/>
      <c r="P1" s="394"/>
      <c r="Q1" s="394"/>
      <c r="R1" s="394"/>
      <c r="S1" s="394"/>
      <c r="T1" s="394"/>
      <c r="U1" s="394"/>
    </row>
    <row r="2" spans="1:21" ht="15.75">
      <c r="A2" s="566" t="s">
        <v>542</v>
      </c>
      <c r="B2" s="566"/>
      <c r="C2" s="566"/>
      <c r="D2" s="567"/>
      <c r="E2" s="898" t="s">
        <v>66</v>
      </c>
      <c r="F2" s="898"/>
      <c r="G2" s="898"/>
      <c r="H2" s="898"/>
      <c r="I2" s="898"/>
      <c r="J2" s="898"/>
      <c r="K2" s="898"/>
      <c r="L2" s="898"/>
      <c r="M2" s="898"/>
      <c r="N2" s="898"/>
      <c r="O2" s="898"/>
      <c r="P2" s="894" t="s">
        <v>426</v>
      </c>
      <c r="Q2" s="894"/>
      <c r="R2" s="894"/>
      <c r="S2" s="894"/>
      <c r="T2" s="498"/>
      <c r="U2" s="498"/>
    </row>
    <row r="3" spans="1:21" ht="15.75">
      <c r="A3" s="886" t="s">
        <v>242</v>
      </c>
      <c r="B3" s="886"/>
      <c r="C3" s="886"/>
      <c r="D3" s="886"/>
      <c r="E3" s="887" t="s">
        <v>34</v>
      </c>
      <c r="F3" s="887"/>
      <c r="G3" s="887"/>
      <c r="H3" s="887"/>
      <c r="I3" s="887"/>
      <c r="J3" s="887"/>
      <c r="K3" s="887"/>
      <c r="L3" s="887"/>
      <c r="M3" s="887"/>
      <c r="N3" s="887"/>
      <c r="O3" s="887"/>
      <c r="P3" s="888" t="str">
        <f>'[8]Thong tin'!B4</f>
        <v>CTHADS TRÀ VINH</v>
      </c>
      <c r="Q3" s="888"/>
      <c r="R3" s="888"/>
      <c r="S3" s="888"/>
      <c r="T3" s="499"/>
      <c r="U3" s="499"/>
    </row>
    <row r="4" spans="1:21" ht="16.5">
      <c r="A4" s="886" t="s">
        <v>243</v>
      </c>
      <c r="B4" s="886"/>
      <c r="C4" s="886"/>
      <c r="D4" s="886"/>
      <c r="E4" s="889" t="str">
        <f>+'Thong tin'!B3</f>
        <v>02  tháng / năm 2017</v>
      </c>
      <c r="F4" s="889"/>
      <c r="G4" s="889"/>
      <c r="H4" s="889"/>
      <c r="I4" s="889"/>
      <c r="J4" s="889"/>
      <c r="K4" s="889"/>
      <c r="L4" s="889"/>
      <c r="M4" s="889"/>
      <c r="N4" s="889"/>
      <c r="O4" s="889"/>
      <c r="P4" s="894" t="s">
        <v>444</v>
      </c>
      <c r="Q4" s="894"/>
      <c r="R4" s="894"/>
      <c r="S4" s="894"/>
      <c r="T4" s="498"/>
      <c r="U4" s="498"/>
    </row>
    <row r="5" spans="1:21" ht="15.75">
      <c r="A5" s="566" t="s">
        <v>541</v>
      </c>
      <c r="B5" s="566"/>
      <c r="C5" s="566"/>
      <c r="D5" s="566"/>
      <c r="E5" s="395"/>
      <c r="F5" s="395"/>
      <c r="G5" s="395"/>
      <c r="H5" s="395"/>
      <c r="I5" s="395"/>
      <c r="J5" s="395"/>
      <c r="K5" s="395"/>
      <c r="L5" s="395"/>
      <c r="M5" s="395"/>
      <c r="N5" s="492"/>
      <c r="O5" s="492"/>
      <c r="P5" s="888" t="s">
        <v>540</v>
      </c>
      <c r="Q5" s="888"/>
      <c r="R5" s="888"/>
      <c r="S5" s="888"/>
      <c r="T5" s="499"/>
      <c r="U5" s="499"/>
    </row>
    <row r="6" spans="1:21" ht="15.75">
      <c r="A6" s="394"/>
      <c r="B6" s="491"/>
      <c r="C6" s="491"/>
      <c r="D6" s="394"/>
      <c r="E6" s="394"/>
      <c r="F6" s="394"/>
      <c r="G6" s="394"/>
      <c r="H6" s="394"/>
      <c r="I6" s="394"/>
      <c r="J6" s="394"/>
      <c r="K6" s="394"/>
      <c r="L6" s="394"/>
      <c r="M6" s="394"/>
      <c r="N6" s="394"/>
      <c r="O6" s="394"/>
      <c r="P6" s="919" t="s">
        <v>8</v>
      </c>
      <c r="Q6" s="919"/>
      <c r="R6" s="919"/>
      <c r="S6" s="919"/>
      <c r="T6" s="498"/>
      <c r="U6" s="498"/>
    </row>
    <row r="7" spans="1:21" ht="15.75" customHeight="1">
      <c r="A7" s="901" t="s">
        <v>57</v>
      </c>
      <c r="B7" s="902"/>
      <c r="C7" s="875" t="s">
        <v>123</v>
      </c>
      <c r="D7" s="907"/>
      <c r="E7" s="908"/>
      <c r="F7" s="884" t="s">
        <v>101</v>
      </c>
      <c r="G7" s="872" t="s">
        <v>124</v>
      </c>
      <c r="H7" s="916" t="s">
        <v>102</v>
      </c>
      <c r="I7" s="917"/>
      <c r="J7" s="917"/>
      <c r="K7" s="917"/>
      <c r="L7" s="917"/>
      <c r="M7" s="917"/>
      <c r="N7" s="917"/>
      <c r="O7" s="917"/>
      <c r="P7" s="917"/>
      <c r="Q7" s="918"/>
      <c r="R7" s="878" t="s">
        <v>247</v>
      </c>
      <c r="S7" s="910" t="s">
        <v>539</v>
      </c>
      <c r="T7" s="893" t="s">
        <v>548</v>
      </c>
      <c r="U7" s="893" t="s">
        <v>547</v>
      </c>
    </row>
    <row r="8" spans="1:21" ht="15.75">
      <c r="A8" s="903"/>
      <c r="B8" s="904"/>
      <c r="C8" s="878" t="s">
        <v>42</v>
      </c>
      <c r="D8" s="880" t="s">
        <v>7</v>
      </c>
      <c r="E8" s="881"/>
      <c r="F8" s="885"/>
      <c r="G8" s="879"/>
      <c r="H8" s="872" t="s">
        <v>31</v>
      </c>
      <c r="I8" s="880" t="s">
        <v>103</v>
      </c>
      <c r="J8" s="914"/>
      <c r="K8" s="914"/>
      <c r="L8" s="914"/>
      <c r="M8" s="914"/>
      <c r="N8" s="914"/>
      <c r="O8" s="914"/>
      <c r="P8" s="915"/>
      <c r="Q8" s="881" t="s">
        <v>125</v>
      </c>
      <c r="R8" s="879"/>
      <c r="S8" s="913"/>
      <c r="T8" s="893"/>
      <c r="U8" s="893"/>
    </row>
    <row r="9" spans="1:21" ht="15.75">
      <c r="A9" s="903"/>
      <c r="B9" s="904"/>
      <c r="C9" s="879"/>
      <c r="D9" s="882"/>
      <c r="E9" s="883"/>
      <c r="F9" s="885"/>
      <c r="G9" s="879"/>
      <c r="H9" s="879"/>
      <c r="I9" s="872" t="s">
        <v>31</v>
      </c>
      <c r="J9" s="875" t="s">
        <v>7</v>
      </c>
      <c r="K9" s="876"/>
      <c r="L9" s="876"/>
      <c r="M9" s="876"/>
      <c r="N9" s="876"/>
      <c r="O9" s="876"/>
      <c r="P9" s="877"/>
      <c r="Q9" s="892"/>
      <c r="R9" s="879"/>
      <c r="S9" s="913"/>
      <c r="T9" s="893"/>
      <c r="U9" s="893"/>
    </row>
    <row r="10" spans="1:21" ht="15.75">
      <c r="A10" s="903"/>
      <c r="B10" s="904"/>
      <c r="C10" s="879"/>
      <c r="D10" s="878" t="s">
        <v>126</v>
      </c>
      <c r="E10" s="878" t="s">
        <v>127</v>
      </c>
      <c r="F10" s="885"/>
      <c r="G10" s="879"/>
      <c r="H10" s="879"/>
      <c r="I10" s="879"/>
      <c r="J10" s="877" t="s">
        <v>128</v>
      </c>
      <c r="K10" s="910" t="s">
        <v>129</v>
      </c>
      <c r="L10" s="913" t="s">
        <v>105</v>
      </c>
      <c r="M10" s="872" t="s">
        <v>130</v>
      </c>
      <c r="N10" s="872" t="s">
        <v>108</v>
      </c>
      <c r="O10" s="872" t="s">
        <v>248</v>
      </c>
      <c r="P10" s="872" t="s">
        <v>110</v>
      </c>
      <c r="Q10" s="892"/>
      <c r="R10" s="879"/>
      <c r="S10" s="913"/>
      <c r="T10" s="893"/>
      <c r="U10" s="893"/>
    </row>
    <row r="11" spans="1:21" ht="15.75">
      <c r="A11" s="905"/>
      <c r="B11" s="906"/>
      <c r="C11" s="873"/>
      <c r="D11" s="873"/>
      <c r="E11" s="873"/>
      <c r="F11" s="882"/>
      <c r="G11" s="873"/>
      <c r="H11" s="873"/>
      <c r="I11" s="873"/>
      <c r="J11" s="877"/>
      <c r="K11" s="910"/>
      <c r="L11" s="913"/>
      <c r="M11" s="873"/>
      <c r="N11" s="873" t="s">
        <v>108</v>
      </c>
      <c r="O11" s="873" t="s">
        <v>248</v>
      </c>
      <c r="P11" s="873" t="s">
        <v>110</v>
      </c>
      <c r="Q11" s="883"/>
      <c r="R11" s="873"/>
      <c r="S11" s="913"/>
      <c r="T11" s="893"/>
      <c r="U11" s="893"/>
    </row>
    <row r="12" spans="1:21" ht="15.75">
      <c r="A12" s="890" t="s">
        <v>6</v>
      </c>
      <c r="B12" s="891"/>
      <c r="C12" s="490">
        <v>1</v>
      </c>
      <c r="D12" s="490">
        <v>2</v>
      </c>
      <c r="E12" s="490">
        <v>3</v>
      </c>
      <c r="F12" s="490">
        <v>4</v>
      </c>
      <c r="G12" s="490">
        <v>5</v>
      </c>
      <c r="H12" s="490">
        <v>6</v>
      </c>
      <c r="I12" s="490">
        <v>7</v>
      </c>
      <c r="J12" s="490">
        <v>8</v>
      </c>
      <c r="K12" s="490">
        <v>9</v>
      </c>
      <c r="L12" s="490">
        <v>10</v>
      </c>
      <c r="M12" s="490">
        <v>11</v>
      </c>
      <c r="N12" s="490">
        <v>12</v>
      </c>
      <c r="O12" s="490">
        <v>13</v>
      </c>
      <c r="P12" s="490">
        <v>14</v>
      </c>
      <c r="Q12" s="490">
        <v>15</v>
      </c>
      <c r="R12" s="490">
        <v>16</v>
      </c>
      <c r="S12" s="490">
        <v>17</v>
      </c>
      <c r="T12" s="490">
        <v>18</v>
      </c>
      <c r="U12" s="490">
        <v>19</v>
      </c>
    </row>
    <row r="13" spans="1:21" ht="15.75">
      <c r="A13" s="899" t="s">
        <v>30</v>
      </c>
      <c r="B13" s="900"/>
      <c r="C13" s="507">
        <f aca="true" t="shared" si="0" ref="C13:R13">+C14+C15</f>
        <v>8142</v>
      </c>
      <c r="D13" s="507">
        <f t="shared" si="0"/>
        <v>6334</v>
      </c>
      <c r="E13" s="507">
        <f t="shared" si="0"/>
        <v>1808</v>
      </c>
      <c r="F13" s="507">
        <f t="shared" si="0"/>
        <v>9</v>
      </c>
      <c r="G13" s="507">
        <f t="shared" si="0"/>
        <v>3</v>
      </c>
      <c r="H13" s="507">
        <f t="shared" si="0"/>
        <v>8133</v>
      </c>
      <c r="I13" s="507">
        <f t="shared" si="0"/>
        <v>5442</v>
      </c>
      <c r="J13" s="507">
        <f t="shared" si="0"/>
        <v>1034</v>
      </c>
      <c r="K13" s="507">
        <f t="shared" si="0"/>
        <v>36</v>
      </c>
      <c r="L13" s="507">
        <f t="shared" si="0"/>
        <v>4107</v>
      </c>
      <c r="M13" s="507">
        <f t="shared" si="0"/>
        <v>87</v>
      </c>
      <c r="N13" s="507">
        <f t="shared" si="0"/>
        <v>5</v>
      </c>
      <c r="O13" s="507">
        <f t="shared" si="0"/>
        <v>0</v>
      </c>
      <c r="P13" s="507">
        <f t="shared" si="0"/>
        <v>173</v>
      </c>
      <c r="Q13" s="507">
        <f t="shared" si="0"/>
        <v>2691</v>
      </c>
      <c r="R13" s="507">
        <f t="shared" si="0"/>
        <v>7063</v>
      </c>
      <c r="S13" s="508">
        <f aca="true" t="shared" si="1" ref="S13:S24">(((J13+K13))/I13)*100</f>
        <v>19.66188901139287</v>
      </c>
      <c r="T13" s="509">
        <f>+I13/H13</f>
        <v>0.6691257838436001</v>
      </c>
      <c r="U13" s="510">
        <f>+R13-Q13</f>
        <v>4372</v>
      </c>
    </row>
    <row r="14" spans="1:21" ht="15.75">
      <c r="A14" s="489" t="s">
        <v>0</v>
      </c>
      <c r="B14" s="488" t="s">
        <v>443</v>
      </c>
      <c r="C14" s="511">
        <f>+'06'!C12</f>
        <v>237</v>
      </c>
      <c r="D14" s="511">
        <f>+'06'!D12</f>
        <v>190</v>
      </c>
      <c r="E14" s="511">
        <f>+'06'!E12</f>
        <v>47</v>
      </c>
      <c r="F14" s="511">
        <f>+'06'!F12</f>
        <v>0</v>
      </c>
      <c r="G14" s="511">
        <f>+'06'!G12</f>
        <v>3</v>
      </c>
      <c r="H14" s="511">
        <f>+'06'!H12</f>
        <v>237</v>
      </c>
      <c r="I14" s="511">
        <f>+'06'!I12</f>
        <v>172</v>
      </c>
      <c r="J14" s="511">
        <f>+'06'!J12</f>
        <v>23</v>
      </c>
      <c r="K14" s="511">
        <f>+'06'!K12</f>
        <v>0</v>
      </c>
      <c r="L14" s="511">
        <f>+'06'!L12</f>
        <v>118</v>
      </c>
      <c r="M14" s="511">
        <f>+'06'!M12</f>
        <v>12</v>
      </c>
      <c r="N14" s="511">
        <f>+'06'!N12</f>
        <v>1</v>
      </c>
      <c r="O14" s="511">
        <f>+'06'!O12</f>
        <v>0</v>
      </c>
      <c r="P14" s="511">
        <f>+'06'!P12</f>
        <v>18</v>
      </c>
      <c r="Q14" s="511">
        <f>+'06'!Q12</f>
        <v>65</v>
      </c>
      <c r="R14" s="511">
        <f>+'06'!R12</f>
        <v>214</v>
      </c>
      <c r="S14" s="512">
        <f t="shared" si="1"/>
        <v>13.372093023255813</v>
      </c>
      <c r="T14" s="509">
        <f>+I14/H14</f>
        <v>0.7257383966244726</v>
      </c>
      <c r="U14" s="510">
        <f aca="true" t="shared" si="2" ref="U14:U24">+R14-Q14</f>
        <v>149</v>
      </c>
    </row>
    <row r="15" spans="1:21" ht="15.75">
      <c r="A15" s="487" t="s">
        <v>1</v>
      </c>
      <c r="B15" s="486" t="s">
        <v>17</v>
      </c>
      <c r="C15" s="507">
        <f aca="true" t="shared" si="3" ref="C15:R15">SUM(C16:C24)</f>
        <v>7905</v>
      </c>
      <c r="D15" s="507">
        <f t="shared" si="3"/>
        <v>6144</v>
      </c>
      <c r="E15" s="507">
        <f t="shared" si="3"/>
        <v>1761</v>
      </c>
      <c r="F15" s="507">
        <f t="shared" si="3"/>
        <v>9</v>
      </c>
      <c r="G15" s="507">
        <f t="shared" si="3"/>
        <v>0</v>
      </c>
      <c r="H15" s="507">
        <f t="shared" si="3"/>
        <v>7896</v>
      </c>
      <c r="I15" s="507">
        <f t="shared" si="3"/>
        <v>5270</v>
      </c>
      <c r="J15" s="507">
        <f t="shared" si="3"/>
        <v>1011</v>
      </c>
      <c r="K15" s="507">
        <f t="shared" si="3"/>
        <v>36</v>
      </c>
      <c r="L15" s="507">
        <f t="shared" si="3"/>
        <v>3989</v>
      </c>
      <c r="M15" s="507">
        <f t="shared" si="3"/>
        <v>75</v>
      </c>
      <c r="N15" s="507">
        <f t="shared" si="3"/>
        <v>4</v>
      </c>
      <c r="O15" s="507">
        <f t="shared" si="3"/>
        <v>0</v>
      </c>
      <c r="P15" s="507">
        <f t="shared" si="3"/>
        <v>155</v>
      </c>
      <c r="Q15" s="507">
        <f t="shared" si="3"/>
        <v>2626</v>
      </c>
      <c r="R15" s="507">
        <f t="shared" si="3"/>
        <v>6849</v>
      </c>
      <c r="S15" s="508">
        <f t="shared" si="1"/>
        <v>19.86717267552182</v>
      </c>
      <c r="T15" s="513">
        <f>+I15/H15</f>
        <v>0.6674265450861195</v>
      </c>
      <c r="U15" s="514">
        <f t="shared" si="2"/>
        <v>4223</v>
      </c>
    </row>
    <row r="16" spans="1:21" ht="15.75">
      <c r="A16" s="484" t="s">
        <v>43</v>
      </c>
      <c r="B16" s="483" t="s">
        <v>442</v>
      </c>
      <c r="C16" s="511">
        <f>+'06'!C23</f>
        <v>1038</v>
      </c>
      <c r="D16" s="511">
        <f>+'06'!D23</f>
        <v>798</v>
      </c>
      <c r="E16" s="511">
        <f>+'06'!E23</f>
        <v>240</v>
      </c>
      <c r="F16" s="511">
        <f>+'06'!F23</f>
        <v>1</v>
      </c>
      <c r="G16" s="511">
        <f>+'06'!G23</f>
        <v>0</v>
      </c>
      <c r="H16" s="511">
        <f>+'06'!H23</f>
        <v>1037</v>
      </c>
      <c r="I16" s="511">
        <f>+'06'!I23</f>
        <v>731</v>
      </c>
      <c r="J16" s="511">
        <f>+'06'!J23</f>
        <v>92</v>
      </c>
      <c r="K16" s="511">
        <f>+'06'!K23</f>
        <v>1</v>
      </c>
      <c r="L16" s="511">
        <f>+'06'!L23</f>
        <v>573</v>
      </c>
      <c r="M16" s="511">
        <f>+'06'!M23</f>
        <v>20</v>
      </c>
      <c r="N16" s="511">
        <f>+'06'!N23</f>
        <v>0</v>
      </c>
      <c r="O16" s="511">
        <f>+'06'!O23</f>
        <v>0</v>
      </c>
      <c r="P16" s="511">
        <f>+'06'!P23</f>
        <v>45</v>
      </c>
      <c r="Q16" s="511">
        <f>+'06'!Q23</f>
        <v>306</v>
      </c>
      <c r="R16" s="511">
        <f>+'06'!R23</f>
        <v>944</v>
      </c>
      <c r="S16" s="512">
        <f t="shared" si="1"/>
        <v>12.722298221614228</v>
      </c>
      <c r="T16" s="509">
        <f aca="true" t="shared" si="4" ref="T16:T24">+I16/H16</f>
        <v>0.7049180327868853</v>
      </c>
      <c r="U16" s="510">
        <f t="shared" si="2"/>
        <v>638</v>
      </c>
    </row>
    <row r="17" spans="1:21" ht="15.75">
      <c r="A17" s="484" t="s">
        <v>44</v>
      </c>
      <c r="B17" s="485" t="s">
        <v>441</v>
      </c>
      <c r="C17" s="511">
        <f>+'06'!C30</f>
        <v>977</v>
      </c>
      <c r="D17" s="511">
        <f>+'06'!D30</f>
        <v>810</v>
      </c>
      <c r="E17" s="511">
        <f>+'06'!E30</f>
        <v>167</v>
      </c>
      <c r="F17" s="511">
        <f>+'06'!F30</f>
        <v>3</v>
      </c>
      <c r="G17" s="511">
        <f>+'06'!G30</f>
        <v>0</v>
      </c>
      <c r="H17" s="511">
        <f>+'06'!H30</f>
        <v>974</v>
      </c>
      <c r="I17" s="511">
        <f>+'06'!I30</f>
        <v>574</v>
      </c>
      <c r="J17" s="511">
        <f>+'06'!J30</f>
        <v>114</v>
      </c>
      <c r="K17" s="511">
        <f>+'06'!K30</f>
        <v>5</v>
      </c>
      <c r="L17" s="511">
        <f>+'06'!L30</f>
        <v>415</v>
      </c>
      <c r="M17" s="511">
        <f>+'06'!M30</f>
        <v>9</v>
      </c>
      <c r="N17" s="511">
        <f>+'06'!N30</f>
        <v>1</v>
      </c>
      <c r="O17" s="511">
        <f>+'06'!O30</f>
        <v>0</v>
      </c>
      <c r="P17" s="511">
        <f>+'06'!P30</f>
        <v>30</v>
      </c>
      <c r="Q17" s="511">
        <f>+'06'!Q30</f>
        <v>400</v>
      </c>
      <c r="R17" s="511">
        <f>+'06'!R30</f>
        <v>855</v>
      </c>
      <c r="S17" s="512">
        <f t="shared" si="1"/>
        <v>20.73170731707317</v>
      </c>
      <c r="T17" s="509">
        <f t="shared" si="4"/>
        <v>0.5893223819301848</v>
      </c>
      <c r="U17" s="510">
        <f t="shared" si="2"/>
        <v>455</v>
      </c>
    </row>
    <row r="18" spans="1:21" ht="15.75">
      <c r="A18" s="484" t="s">
        <v>49</v>
      </c>
      <c r="B18" s="483" t="s">
        <v>440</v>
      </c>
      <c r="C18" s="511">
        <f>+'06'!C36</f>
        <v>663</v>
      </c>
      <c r="D18" s="511">
        <f>+'06'!D36</f>
        <v>511</v>
      </c>
      <c r="E18" s="511">
        <f>+'06'!E36</f>
        <v>152</v>
      </c>
      <c r="F18" s="511">
        <f>+'06'!F36</f>
        <v>0</v>
      </c>
      <c r="G18" s="511">
        <f>+'06'!G36</f>
        <v>0</v>
      </c>
      <c r="H18" s="511">
        <f>+'06'!H36</f>
        <v>663</v>
      </c>
      <c r="I18" s="511">
        <f>+'06'!I36</f>
        <v>433</v>
      </c>
      <c r="J18" s="511">
        <f>+'06'!J36</f>
        <v>82</v>
      </c>
      <c r="K18" s="511">
        <f>+'06'!K36</f>
        <v>0</v>
      </c>
      <c r="L18" s="511">
        <f>+'06'!L36</f>
        <v>342</v>
      </c>
      <c r="M18" s="511">
        <f>+'06'!M36</f>
        <v>5</v>
      </c>
      <c r="N18" s="511">
        <f>+'06'!N36</f>
        <v>0</v>
      </c>
      <c r="O18" s="511">
        <f>+'06'!O36</f>
        <v>0</v>
      </c>
      <c r="P18" s="511">
        <f>+'06'!P36</f>
        <v>4</v>
      </c>
      <c r="Q18" s="511">
        <f>+'06'!Q36</f>
        <v>230</v>
      </c>
      <c r="R18" s="511">
        <f>+'06'!R36</f>
        <v>581</v>
      </c>
      <c r="S18" s="512">
        <f t="shared" si="1"/>
        <v>18.937644341801384</v>
      </c>
      <c r="T18" s="509">
        <f t="shared" si="4"/>
        <v>0.6530920060331825</v>
      </c>
      <c r="U18" s="510">
        <f t="shared" si="2"/>
        <v>351</v>
      </c>
    </row>
    <row r="19" spans="1:21" ht="15.75">
      <c r="A19" s="484" t="s">
        <v>58</v>
      </c>
      <c r="B19" s="483" t="s">
        <v>439</v>
      </c>
      <c r="C19" s="511">
        <f>+'06'!C41</f>
        <v>428</v>
      </c>
      <c r="D19" s="511">
        <f>+'06'!D41</f>
        <v>324</v>
      </c>
      <c r="E19" s="511">
        <f>+'06'!E41</f>
        <v>104</v>
      </c>
      <c r="F19" s="511">
        <f>+'06'!F41</f>
        <v>0</v>
      </c>
      <c r="G19" s="511">
        <f>+'06'!G41</f>
        <v>0</v>
      </c>
      <c r="H19" s="511">
        <f>+'06'!H41</f>
        <v>428</v>
      </c>
      <c r="I19" s="511">
        <f>+'06'!I41</f>
        <v>311</v>
      </c>
      <c r="J19" s="511">
        <f>+'06'!J41</f>
        <v>52</v>
      </c>
      <c r="K19" s="511">
        <f>+'06'!K41</f>
        <v>2</v>
      </c>
      <c r="L19" s="511">
        <f>+'06'!L41</f>
        <v>257</v>
      </c>
      <c r="M19" s="511">
        <f>+'06'!M41</f>
        <v>0</v>
      </c>
      <c r="N19" s="511">
        <f>+'06'!N41</f>
        <v>0</v>
      </c>
      <c r="O19" s="511">
        <f>+'06'!O41</f>
        <v>0</v>
      </c>
      <c r="P19" s="511">
        <f>+'06'!P41</f>
        <v>0</v>
      </c>
      <c r="Q19" s="511">
        <f>+'06'!Q41</f>
        <v>117</v>
      </c>
      <c r="R19" s="511">
        <f>+'06'!R41</f>
        <v>374</v>
      </c>
      <c r="S19" s="512">
        <f t="shared" si="1"/>
        <v>17.363344051446948</v>
      </c>
      <c r="T19" s="509">
        <f t="shared" si="4"/>
        <v>0.7266355140186916</v>
      </c>
      <c r="U19" s="510">
        <f t="shared" si="2"/>
        <v>257</v>
      </c>
    </row>
    <row r="20" spans="1:21" ht="15.75">
      <c r="A20" s="484" t="s">
        <v>59</v>
      </c>
      <c r="B20" s="483" t="s">
        <v>438</v>
      </c>
      <c r="C20" s="511">
        <f>+'06'!C45</f>
        <v>505</v>
      </c>
      <c r="D20" s="511">
        <f>+'06'!D45</f>
        <v>362</v>
      </c>
      <c r="E20" s="511">
        <f>+'06'!E45</f>
        <v>143</v>
      </c>
      <c r="F20" s="511">
        <f>+'06'!F45</f>
        <v>1</v>
      </c>
      <c r="G20" s="511">
        <f>+'06'!G45</f>
        <v>0</v>
      </c>
      <c r="H20" s="511">
        <f>+'06'!H45</f>
        <v>504</v>
      </c>
      <c r="I20" s="511">
        <f>+'06'!I45</f>
        <v>355</v>
      </c>
      <c r="J20" s="511">
        <f>+'06'!J45</f>
        <v>82</v>
      </c>
      <c r="K20" s="511">
        <f>+'06'!K45</f>
        <v>3</v>
      </c>
      <c r="L20" s="511">
        <f>+'06'!L45</f>
        <v>262</v>
      </c>
      <c r="M20" s="511">
        <f>+'06'!M45</f>
        <v>6</v>
      </c>
      <c r="N20" s="511">
        <f>+'06'!N45</f>
        <v>2</v>
      </c>
      <c r="O20" s="511">
        <f>+'06'!O45</f>
        <v>0</v>
      </c>
      <c r="P20" s="511">
        <f>+'06'!P45</f>
        <v>0</v>
      </c>
      <c r="Q20" s="511">
        <f>+'06'!Q45</f>
        <v>149</v>
      </c>
      <c r="R20" s="511">
        <f>+'06'!R45</f>
        <v>419</v>
      </c>
      <c r="S20" s="512">
        <f t="shared" si="1"/>
        <v>23.943661971830984</v>
      </c>
      <c r="T20" s="509">
        <f t="shared" si="4"/>
        <v>0.7043650793650794</v>
      </c>
      <c r="U20" s="510">
        <f t="shared" si="2"/>
        <v>270</v>
      </c>
    </row>
    <row r="21" spans="1:21" ht="15.75">
      <c r="A21" s="484" t="s">
        <v>60</v>
      </c>
      <c r="B21" s="483" t="s">
        <v>437</v>
      </c>
      <c r="C21" s="511">
        <f>+'06'!C50</f>
        <v>1114</v>
      </c>
      <c r="D21" s="511">
        <f>+'06'!D50</f>
        <v>840</v>
      </c>
      <c r="E21" s="511">
        <f>+'06'!E50</f>
        <v>274</v>
      </c>
      <c r="F21" s="511">
        <f>+'06'!F50</f>
        <v>0</v>
      </c>
      <c r="G21" s="511">
        <f>+'06'!G50</f>
        <v>0</v>
      </c>
      <c r="H21" s="511">
        <f>+'06'!H50</f>
        <v>1114</v>
      </c>
      <c r="I21" s="511">
        <f>+'06'!I50</f>
        <v>659</v>
      </c>
      <c r="J21" s="511">
        <f>+'06'!J50</f>
        <v>166</v>
      </c>
      <c r="K21" s="511">
        <f>+'06'!K50</f>
        <v>8</v>
      </c>
      <c r="L21" s="511">
        <f>+'06'!L50</f>
        <v>485</v>
      </c>
      <c r="M21" s="511">
        <f>+'06'!M50</f>
        <v>0</v>
      </c>
      <c r="N21" s="511">
        <f>+'06'!N50</f>
        <v>0</v>
      </c>
      <c r="O21" s="511">
        <f>+'06'!O50</f>
        <v>0</v>
      </c>
      <c r="P21" s="511">
        <f>+'06'!P50</f>
        <v>0</v>
      </c>
      <c r="Q21" s="511">
        <f>+'06'!Q50</f>
        <v>455</v>
      </c>
      <c r="R21" s="511">
        <f>+'06'!R50</f>
        <v>940</v>
      </c>
      <c r="S21" s="512">
        <f t="shared" si="1"/>
        <v>26.403641881638844</v>
      </c>
      <c r="T21" s="509">
        <f t="shared" si="4"/>
        <v>0.5915619389587073</v>
      </c>
      <c r="U21" s="510">
        <f t="shared" si="2"/>
        <v>485</v>
      </c>
    </row>
    <row r="22" spans="1:21" ht="15.75">
      <c r="A22" s="484" t="s">
        <v>61</v>
      </c>
      <c r="B22" s="483" t="s">
        <v>436</v>
      </c>
      <c r="C22" s="511">
        <f>+'06'!C56</f>
        <v>1059</v>
      </c>
      <c r="D22" s="511">
        <f>+'06'!D56</f>
        <v>796</v>
      </c>
      <c r="E22" s="511">
        <f>+'06'!E56</f>
        <v>263</v>
      </c>
      <c r="F22" s="511">
        <f>+'06'!F56</f>
        <v>4</v>
      </c>
      <c r="G22" s="511">
        <f>+'06'!G56</f>
        <v>0</v>
      </c>
      <c r="H22" s="511">
        <f>+'06'!H56</f>
        <v>1055</v>
      </c>
      <c r="I22" s="511">
        <f>+'06'!I56</f>
        <v>667</v>
      </c>
      <c r="J22" s="511">
        <f>+'06'!J56</f>
        <v>115</v>
      </c>
      <c r="K22" s="511">
        <f>+'06'!K56</f>
        <v>4</v>
      </c>
      <c r="L22" s="511">
        <f>+'06'!L56</f>
        <v>448</v>
      </c>
      <c r="M22" s="511">
        <f>+'06'!M56</f>
        <v>28</v>
      </c>
      <c r="N22" s="511">
        <f>+'06'!N56</f>
        <v>0</v>
      </c>
      <c r="O22" s="511">
        <f>+'06'!O56</f>
        <v>0</v>
      </c>
      <c r="P22" s="511">
        <f>+'06'!P56</f>
        <v>72</v>
      </c>
      <c r="Q22" s="511">
        <f>+'06'!Q56</f>
        <v>388</v>
      </c>
      <c r="R22" s="511">
        <f>+'06'!R56</f>
        <v>936</v>
      </c>
      <c r="S22" s="512">
        <f t="shared" si="1"/>
        <v>17.841079460269864</v>
      </c>
      <c r="T22" s="509">
        <f t="shared" si="4"/>
        <v>0.6322274881516587</v>
      </c>
      <c r="U22" s="510">
        <f t="shared" si="2"/>
        <v>548</v>
      </c>
    </row>
    <row r="23" spans="1:21" ht="15.75">
      <c r="A23" s="484" t="s">
        <v>62</v>
      </c>
      <c r="B23" s="483" t="s">
        <v>435</v>
      </c>
      <c r="C23" s="511">
        <f>+'06'!C62</f>
        <v>1432</v>
      </c>
      <c r="D23" s="511">
        <f>+'06'!D62</f>
        <v>1256</v>
      </c>
      <c r="E23" s="511">
        <f>+'06'!E62</f>
        <v>176</v>
      </c>
      <c r="F23" s="511">
        <f>+'06'!F62</f>
        <v>0</v>
      </c>
      <c r="G23" s="511">
        <f>+'06'!G62</f>
        <v>0</v>
      </c>
      <c r="H23" s="511">
        <f>+'06'!H62</f>
        <v>1432</v>
      </c>
      <c r="I23" s="511">
        <f>+'06'!I62</f>
        <v>996</v>
      </c>
      <c r="J23" s="511">
        <f>+'06'!J62</f>
        <v>120</v>
      </c>
      <c r="K23" s="511">
        <f>+'06'!K62</f>
        <v>13</v>
      </c>
      <c r="L23" s="511">
        <f>+'06'!L62</f>
        <v>858</v>
      </c>
      <c r="M23" s="511">
        <f>+'06'!M62</f>
        <v>4</v>
      </c>
      <c r="N23" s="511">
        <f>+'06'!N62</f>
        <v>1</v>
      </c>
      <c r="O23" s="511">
        <f>+'06'!O62</f>
        <v>0</v>
      </c>
      <c r="P23" s="511">
        <f>+'06'!P62</f>
        <v>0</v>
      </c>
      <c r="Q23" s="511">
        <f>+'06'!Q62</f>
        <v>436</v>
      </c>
      <c r="R23" s="511">
        <f>+'06'!R62</f>
        <v>1299</v>
      </c>
      <c r="S23" s="512">
        <f t="shared" si="1"/>
        <v>13.353413654618473</v>
      </c>
      <c r="T23" s="509">
        <f t="shared" si="4"/>
        <v>0.6955307262569832</v>
      </c>
      <c r="U23" s="510">
        <f t="shared" si="2"/>
        <v>863</v>
      </c>
    </row>
    <row r="24" spans="1:21" ht="15.75">
      <c r="A24" s="484" t="s">
        <v>63</v>
      </c>
      <c r="B24" s="483" t="s">
        <v>434</v>
      </c>
      <c r="C24" s="511">
        <f>+'06'!C68</f>
        <v>689</v>
      </c>
      <c r="D24" s="511">
        <f>+'06'!D68</f>
        <v>447</v>
      </c>
      <c r="E24" s="511">
        <f>+'06'!E68</f>
        <v>242</v>
      </c>
      <c r="F24" s="511">
        <f>+'06'!F68</f>
        <v>0</v>
      </c>
      <c r="G24" s="511">
        <f>+'06'!G68</f>
        <v>0</v>
      </c>
      <c r="H24" s="511">
        <f>+'06'!H68</f>
        <v>689</v>
      </c>
      <c r="I24" s="511">
        <f>+'06'!I68</f>
        <v>544</v>
      </c>
      <c r="J24" s="511">
        <f>+'06'!J68</f>
        <v>188</v>
      </c>
      <c r="K24" s="511">
        <f>+'06'!K68</f>
        <v>0</v>
      </c>
      <c r="L24" s="511">
        <f>+'06'!L68</f>
        <v>349</v>
      </c>
      <c r="M24" s="511">
        <f>+'06'!M68</f>
        <v>3</v>
      </c>
      <c r="N24" s="511">
        <f>+'06'!N68</f>
        <v>0</v>
      </c>
      <c r="O24" s="511">
        <f>+'06'!O68</f>
        <v>0</v>
      </c>
      <c r="P24" s="511">
        <f>+'06'!P68</f>
        <v>4</v>
      </c>
      <c r="Q24" s="511">
        <f>+'06'!Q68</f>
        <v>145</v>
      </c>
      <c r="R24" s="511">
        <f>+'06'!R68</f>
        <v>501</v>
      </c>
      <c r="S24" s="512">
        <f t="shared" si="1"/>
        <v>34.55882352941176</v>
      </c>
      <c r="T24" s="509">
        <f t="shared" si="4"/>
        <v>0.7895500725689405</v>
      </c>
      <c r="U24" s="510">
        <f t="shared" si="2"/>
        <v>356</v>
      </c>
    </row>
    <row r="25" spans="1:21" ht="16.5">
      <c r="A25" s="482"/>
      <c r="B25" s="482"/>
      <c r="C25" s="482"/>
      <c r="D25" s="482"/>
      <c r="E25" s="482"/>
      <c r="F25" s="481"/>
      <c r="G25" s="481"/>
      <c r="H25" s="481"/>
      <c r="I25" s="481"/>
      <c r="J25" s="481"/>
      <c r="K25" s="481"/>
      <c r="L25" s="481"/>
      <c r="M25" s="481"/>
      <c r="N25" s="568" t="str">
        <f>+'Thong tin'!B8</f>
        <v>Trà Vinh, ngày 01 tháng 12 năm 2016</v>
      </c>
      <c r="O25" s="568"/>
      <c r="P25" s="568"/>
      <c r="Q25" s="568"/>
      <c r="R25" s="568"/>
      <c r="S25" s="568"/>
      <c r="T25" s="503"/>
      <c r="U25" s="503"/>
    </row>
    <row r="26" spans="1:21" ht="16.5">
      <c r="A26" s="480"/>
      <c r="B26" s="874"/>
      <c r="C26" s="874"/>
      <c r="D26" s="874"/>
      <c r="E26" s="874"/>
      <c r="F26" s="479"/>
      <c r="G26" s="479"/>
      <c r="H26" s="479"/>
      <c r="I26" s="479"/>
      <c r="J26" s="479"/>
      <c r="K26" s="479"/>
      <c r="L26" s="479"/>
      <c r="M26" s="479"/>
      <c r="N26" s="911" t="str">
        <f>'[8]Thong tin'!B7</f>
        <v>PHÓ CỤC TRƯỞNG</v>
      </c>
      <c r="O26" s="911"/>
      <c r="P26" s="911"/>
      <c r="Q26" s="911"/>
      <c r="R26" s="911"/>
      <c r="S26" s="911"/>
      <c r="T26" s="500"/>
      <c r="U26" s="500"/>
    </row>
    <row r="27" spans="1:21" ht="16.5">
      <c r="A27" s="394"/>
      <c r="B27" s="874" t="s">
        <v>4</v>
      </c>
      <c r="C27" s="874"/>
      <c r="D27" s="874"/>
      <c r="E27" s="874"/>
      <c r="F27" s="395"/>
      <c r="G27" s="395"/>
      <c r="H27" s="395"/>
      <c r="I27" s="395"/>
      <c r="J27" s="395"/>
      <c r="K27" s="395"/>
      <c r="L27" s="395"/>
      <c r="M27" s="395"/>
      <c r="N27" s="912"/>
      <c r="O27" s="912"/>
      <c r="P27" s="912"/>
      <c r="Q27" s="912"/>
      <c r="R27" s="912"/>
      <c r="S27" s="912"/>
      <c r="T27" s="501"/>
      <c r="U27" s="501"/>
    </row>
    <row r="28" spans="1:21" ht="15.75">
      <c r="A28" s="394"/>
      <c r="B28" s="394"/>
      <c r="C28" s="394"/>
      <c r="D28" s="395"/>
      <c r="E28" s="395"/>
      <c r="F28" s="395"/>
      <c r="G28" s="395"/>
      <c r="H28" s="395"/>
      <c r="I28" s="395"/>
      <c r="J28" s="395"/>
      <c r="K28" s="395"/>
      <c r="L28" s="395"/>
      <c r="M28" s="395"/>
      <c r="N28" s="395"/>
      <c r="O28" s="395"/>
      <c r="P28" s="395"/>
      <c r="Q28" s="395"/>
      <c r="R28" s="394"/>
      <c r="S28" s="394"/>
      <c r="T28" s="394"/>
      <c r="U28" s="394"/>
    </row>
    <row r="29" spans="1:21" ht="15.75">
      <c r="A29" s="394"/>
      <c r="B29" s="394"/>
      <c r="C29" s="394"/>
      <c r="D29" s="395"/>
      <c r="E29" s="395"/>
      <c r="F29" s="395"/>
      <c r="G29" s="395"/>
      <c r="H29" s="395"/>
      <c r="I29" s="395"/>
      <c r="J29" s="395"/>
      <c r="K29" s="395"/>
      <c r="L29" s="395"/>
      <c r="M29" s="395"/>
      <c r="N29" s="395"/>
      <c r="O29" s="395"/>
      <c r="P29" s="395"/>
      <c r="Q29" s="395"/>
      <c r="R29" s="394"/>
      <c r="S29" s="394"/>
      <c r="T29" s="394"/>
      <c r="U29" s="394"/>
    </row>
    <row r="30" spans="1:21" ht="15.75">
      <c r="A30" s="478"/>
      <c r="B30" s="394"/>
      <c r="C30" s="394"/>
      <c r="D30" s="395"/>
      <c r="E30" s="395"/>
      <c r="F30" s="395"/>
      <c r="G30" s="395"/>
      <c r="H30" s="395"/>
      <c r="I30" s="395"/>
      <c r="J30" s="395"/>
      <c r="K30" s="395"/>
      <c r="L30" s="395"/>
      <c r="M30" s="395"/>
      <c r="N30" s="395"/>
      <c r="O30" s="395"/>
      <c r="P30" s="395"/>
      <c r="Q30" s="395"/>
      <c r="R30" s="394"/>
      <c r="S30" s="394"/>
      <c r="T30" s="394"/>
      <c r="U30" s="394"/>
    </row>
    <row r="31" spans="1:21" ht="15.75">
      <c r="A31" s="394"/>
      <c r="B31" s="909"/>
      <c r="C31" s="909"/>
      <c r="D31" s="909"/>
      <c r="E31" s="909"/>
      <c r="F31" s="909"/>
      <c r="G31" s="909"/>
      <c r="H31" s="909"/>
      <c r="I31" s="909"/>
      <c r="J31" s="909"/>
      <c r="K31" s="909"/>
      <c r="L31" s="909"/>
      <c r="M31" s="909"/>
      <c r="N31" s="909"/>
      <c r="O31" s="909"/>
      <c r="P31" s="395"/>
      <c r="Q31" s="395"/>
      <c r="R31" s="394"/>
      <c r="S31" s="394"/>
      <c r="T31" s="394"/>
      <c r="U31" s="394"/>
    </row>
    <row r="32" spans="1:21" ht="15.75">
      <c r="A32" s="394"/>
      <c r="B32" s="477"/>
      <c r="C32" s="477"/>
      <c r="D32" s="477"/>
      <c r="E32" s="477"/>
      <c r="F32" s="477"/>
      <c r="G32" s="477"/>
      <c r="H32" s="477"/>
      <c r="I32" s="477"/>
      <c r="J32" s="477"/>
      <c r="K32" s="477"/>
      <c r="L32" s="477"/>
      <c r="M32" s="477"/>
      <c r="N32" s="477"/>
      <c r="O32" s="477"/>
      <c r="P32" s="395"/>
      <c r="Q32" s="395"/>
      <c r="R32" s="394"/>
      <c r="S32" s="394"/>
      <c r="T32" s="394"/>
      <c r="U32" s="394"/>
    </row>
    <row r="33" spans="1:21" ht="15.75">
      <c r="A33" s="394"/>
      <c r="B33" s="898"/>
      <c r="C33" s="898"/>
      <c r="D33" s="898"/>
      <c r="E33" s="898"/>
      <c r="F33" s="477"/>
      <c r="G33" s="477"/>
      <c r="H33" s="477"/>
      <c r="I33" s="477"/>
      <c r="J33" s="477"/>
      <c r="K33" s="477"/>
      <c r="L33" s="477"/>
      <c r="M33" s="477"/>
      <c r="N33" s="477"/>
      <c r="O33" s="897"/>
      <c r="P33" s="897"/>
      <c r="Q33" s="897"/>
      <c r="R33" s="897"/>
      <c r="S33" s="394"/>
      <c r="T33" s="394"/>
      <c r="U33" s="394"/>
    </row>
    <row r="34" spans="1:21" ht="15.75">
      <c r="A34" s="476"/>
      <c r="B34" s="895" t="str">
        <f>'[8]Thong tin'!B5</f>
        <v>Nhan Quốc Hải</v>
      </c>
      <c r="C34" s="895"/>
      <c r="D34" s="895"/>
      <c r="E34" s="895"/>
      <c r="F34" s="476"/>
      <c r="G34" s="476"/>
      <c r="H34" s="476"/>
      <c r="I34" s="476"/>
      <c r="J34" s="476"/>
      <c r="K34" s="476"/>
      <c r="L34" s="476"/>
      <c r="M34" s="476"/>
      <c r="N34" s="476"/>
      <c r="O34" s="896" t="str">
        <f>'[8]Thong tin'!B6</f>
        <v>Trần Việt Hồng</v>
      </c>
      <c r="P34" s="896"/>
      <c r="Q34" s="896"/>
      <c r="R34" s="896"/>
      <c r="S34" s="394"/>
      <c r="T34" s="394"/>
      <c r="U34" s="394"/>
    </row>
  </sheetData>
  <sheetProtection/>
  <mergeCells count="46">
    <mergeCell ref="T7:T11"/>
    <mergeCell ref="I8:P8"/>
    <mergeCell ref="H7:Q7"/>
    <mergeCell ref="E2:O2"/>
    <mergeCell ref="P2:S2"/>
    <mergeCell ref="P5:S5"/>
    <mergeCell ref="P6:S6"/>
    <mergeCell ref="S7:S11"/>
    <mergeCell ref="M10:M11"/>
    <mergeCell ref="B31:O31"/>
    <mergeCell ref="R7:R11"/>
    <mergeCell ref="J10:J11"/>
    <mergeCell ref="K10:K11"/>
    <mergeCell ref="H8:H11"/>
    <mergeCell ref="I9:I11"/>
    <mergeCell ref="N26:S26"/>
    <mergeCell ref="N27:S27"/>
    <mergeCell ref="L10:L11"/>
    <mergeCell ref="G7:G11"/>
    <mergeCell ref="U7:U11"/>
    <mergeCell ref="P4:S4"/>
    <mergeCell ref="B34:E34"/>
    <mergeCell ref="O34:R34"/>
    <mergeCell ref="O33:R33"/>
    <mergeCell ref="B33:E33"/>
    <mergeCell ref="A13:B13"/>
    <mergeCell ref="A7:B11"/>
    <mergeCell ref="C7:E7"/>
    <mergeCell ref="E10:E11"/>
    <mergeCell ref="B27:E27"/>
    <mergeCell ref="A3:D3"/>
    <mergeCell ref="E3:O3"/>
    <mergeCell ref="P3:S3"/>
    <mergeCell ref="A4:D4"/>
    <mergeCell ref="E4:O4"/>
    <mergeCell ref="A12:B12"/>
    <mergeCell ref="Q8:Q11"/>
    <mergeCell ref="P10:P11"/>
    <mergeCell ref="O10:O11"/>
    <mergeCell ref="B26:E26"/>
    <mergeCell ref="J9:P9"/>
    <mergeCell ref="D10:D11"/>
    <mergeCell ref="C8:C11"/>
    <mergeCell ref="D8:E9"/>
    <mergeCell ref="F7:F11"/>
    <mergeCell ref="N10:N11"/>
  </mergeCells>
  <printOptions/>
  <pageMargins left="0" right="0"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V33"/>
  <sheetViews>
    <sheetView view="pageBreakPreview" zoomScale="110" zoomScaleNormal="80" zoomScaleSheetLayoutView="110" zoomScalePageLayoutView="0" workbookViewId="0" topLeftCell="J6">
      <selection activeCell="V25" sqref="V25"/>
    </sheetView>
  </sheetViews>
  <sheetFormatPr defaultColWidth="9.00390625" defaultRowHeight="15.75"/>
  <cols>
    <col min="1" max="1" width="3.125" style="0" customWidth="1"/>
    <col min="2" max="2" width="7.375" style="0" customWidth="1"/>
    <col min="3" max="3" width="6.625" style="0" customWidth="1"/>
    <col min="4" max="4" width="6.375" style="0" customWidth="1"/>
    <col min="5" max="5" width="6.625" style="0" customWidth="1"/>
    <col min="6" max="6" width="5.875" style="0" customWidth="1"/>
    <col min="7" max="7" width="3.375" style="0" customWidth="1"/>
    <col min="8" max="9" width="6.125" style="0" customWidth="1"/>
    <col min="10" max="10" width="6.625" style="0" customWidth="1"/>
    <col min="11" max="11" width="5.125" style="0" customWidth="1"/>
    <col min="12" max="12" width="3.375" style="0" customWidth="1"/>
    <col min="13" max="13" width="6.00390625" style="0" customWidth="1"/>
    <col min="14" max="14" width="5.625" style="0" customWidth="1"/>
    <col min="15" max="15" width="4.50390625" style="0" customWidth="1"/>
    <col min="16" max="16" width="3.25390625" style="0" customWidth="1"/>
    <col min="17" max="17" width="5.00390625" style="0" customWidth="1"/>
    <col min="18" max="18" width="7.625" style="0" customWidth="1"/>
    <col min="19" max="19" width="7.375" style="0" customWidth="1"/>
    <col min="20" max="20" width="4.625" style="0" customWidth="1"/>
    <col min="21" max="21" width="5.125" style="0" customWidth="1"/>
    <col min="22" max="22" width="6.75390625" style="0" customWidth="1"/>
  </cols>
  <sheetData>
    <row r="1" spans="1:22" ht="15.75">
      <c r="A1" s="566" t="s">
        <v>546</v>
      </c>
      <c r="B1" s="566"/>
      <c r="C1" s="566"/>
      <c r="D1" s="567"/>
      <c r="E1" s="937" t="s">
        <v>545</v>
      </c>
      <c r="F1" s="937"/>
      <c r="G1" s="937"/>
      <c r="H1" s="937"/>
      <c r="I1" s="937"/>
      <c r="J1" s="937"/>
      <c r="K1" s="937"/>
      <c r="L1" s="937"/>
      <c r="M1" s="937"/>
      <c r="N1" s="937"/>
      <c r="O1" s="937"/>
      <c r="P1" s="937"/>
      <c r="Q1" s="936" t="s">
        <v>426</v>
      </c>
      <c r="R1" s="936"/>
      <c r="S1" s="936"/>
      <c r="T1" s="936"/>
      <c r="U1" s="504"/>
      <c r="V1" s="504"/>
    </row>
    <row r="2" spans="1:22" ht="15.75">
      <c r="A2" s="886" t="s">
        <v>242</v>
      </c>
      <c r="B2" s="886"/>
      <c r="C2" s="886"/>
      <c r="D2" s="886"/>
      <c r="E2" s="897" t="s">
        <v>34</v>
      </c>
      <c r="F2" s="897"/>
      <c r="G2" s="897"/>
      <c r="H2" s="897"/>
      <c r="I2" s="897"/>
      <c r="J2" s="897"/>
      <c r="K2" s="897"/>
      <c r="L2" s="897"/>
      <c r="M2" s="897"/>
      <c r="N2" s="897"/>
      <c r="O2" s="897"/>
      <c r="P2" s="897"/>
      <c r="Q2" s="934" t="s">
        <v>544</v>
      </c>
      <c r="R2" s="934"/>
      <c r="S2" s="934"/>
      <c r="T2" s="934"/>
      <c r="U2" s="505"/>
      <c r="V2" s="505"/>
    </row>
    <row r="3" spans="1:22" ht="16.5">
      <c r="A3" s="886" t="s">
        <v>243</v>
      </c>
      <c r="B3" s="886"/>
      <c r="C3" s="886"/>
      <c r="D3" s="886"/>
      <c r="E3" s="889" t="str">
        <f>+'Thong tin'!B3</f>
        <v>02  tháng / năm 2017</v>
      </c>
      <c r="F3" s="935"/>
      <c r="G3" s="935"/>
      <c r="H3" s="935"/>
      <c r="I3" s="935"/>
      <c r="J3" s="935"/>
      <c r="K3" s="935"/>
      <c r="L3" s="935"/>
      <c r="M3" s="935"/>
      <c r="N3" s="935"/>
      <c r="O3" s="935"/>
      <c r="P3" s="935"/>
      <c r="Q3" s="936" t="s">
        <v>444</v>
      </c>
      <c r="R3" s="936"/>
      <c r="S3" s="936"/>
      <c r="T3" s="936"/>
      <c r="U3" s="504"/>
      <c r="V3" s="504"/>
    </row>
    <row r="4" spans="1:22" ht="15.75">
      <c r="A4" s="566" t="s">
        <v>541</v>
      </c>
      <c r="B4" s="566"/>
      <c r="C4" s="566"/>
      <c r="D4" s="566"/>
      <c r="E4" s="395"/>
      <c r="F4" s="395"/>
      <c r="G4" s="395"/>
      <c r="H4" s="395"/>
      <c r="I4" s="395"/>
      <c r="J4" s="395"/>
      <c r="K4" s="395"/>
      <c r="L4" s="395"/>
      <c r="M4" s="395"/>
      <c r="N4" s="395"/>
      <c r="O4" s="492"/>
      <c r="P4" s="492"/>
      <c r="Q4" s="934" t="s">
        <v>540</v>
      </c>
      <c r="R4" s="934"/>
      <c r="S4" s="934"/>
      <c r="T4" s="934"/>
      <c r="U4" s="505"/>
      <c r="V4" s="505"/>
    </row>
    <row r="5" spans="1:22" ht="15.75">
      <c r="A5" s="394"/>
      <c r="B5" s="491"/>
      <c r="C5" s="491"/>
      <c r="D5" s="394"/>
      <c r="E5" s="394"/>
      <c r="F5" s="394"/>
      <c r="G5" s="394"/>
      <c r="H5" s="394"/>
      <c r="I5" s="394"/>
      <c r="J5" s="394"/>
      <c r="K5" s="394"/>
      <c r="L5" s="394"/>
      <c r="M5" s="394"/>
      <c r="N5" s="394"/>
      <c r="O5" s="394"/>
      <c r="P5" s="394"/>
      <c r="Q5" s="938" t="s">
        <v>427</v>
      </c>
      <c r="R5" s="938"/>
      <c r="S5" s="938"/>
      <c r="T5" s="938"/>
      <c r="U5" s="515"/>
      <c r="V5" s="515"/>
    </row>
    <row r="6" spans="1:22" ht="15.75" customHeight="1">
      <c r="A6" s="901" t="s">
        <v>57</v>
      </c>
      <c r="B6" s="902"/>
      <c r="C6" s="875" t="s">
        <v>123</v>
      </c>
      <c r="D6" s="876"/>
      <c r="E6" s="877"/>
      <c r="F6" s="872" t="s">
        <v>101</v>
      </c>
      <c r="G6" s="872" t="s">
        <v>124</v>
      </c>
      <c r="H6" s="916" t="s">
        <v>102</v>
      </c>
      <c r="I6" s="917"/>
      <c r="J6" s="917"/>
      <c r="K6" s="917"/>
      <c r="L6" s="917"/>
      <c r="M6" s="917"/>
      <c r="N6" s="917"/>
      <c r="O6" s="917"/>
      <c r="P6" s="917"/>
      <c r="Q6" s="917"/>
      <c r="R6" s="918"/>
      <c r="S6" s="878" t="s">
        <v>247</v>
      </c>
      <c r="T6" s="878" t="s">
        <v>543</v>
      </c>
      <c r="U6" s="930" t="s">
        <v>548</v>
      </c>
      <c r="V6" s="893" t="s">
        <v>547</v>
      </c>
    </row>
    <row r="7" spans="1:22" ht="15.75" customHeight="1">
      <c r="A7" s="903"/>
      <c r="B7" s="904"/>
      <c r="C7" s="878" t="s">
        <v>42</v>
      </c>
      <c r="D7" s="880" t="s">
        <v>7</v>
      </c>
      <c r="E7" s="915"/>
      <c r="F7" s="879"/>
      <c r="G7" s="879"/>
      <c r="H7" s="872" t="s">
        <v>31</v>
      </c>
      <c r="I7" s="875" t="s">
        <v>103</v>
      </c>
      <c r="J7" s="876"/>
      <c r="K7" s="876"/>
      <c r="L7" s="876"/>
      <c r="M7" s="876"/>
      <c r="N7" s="876"/>
      <c r="O7" s="876"/>
      <c r="P7" s="876"/>
      <c r="Q7" s="877"/>
      <c r="R7" s="872" t="s">
        <v>125</v>
      </c>
      <c r="S7" s="923"/>
      <c r="T7" s="923"/>
      <c r="U7" s="931"/>
      <c r="V7" s="893"/>
    </row>
    <row r="8" spans="1:22" ht="15.75">
      <c r="A8" s="903"/>
      <c r="B8" s="904"/>
      <c r="C8" s="923"/>
      <c r="D8" s="926"/>
      <c r="E8" s="927"/>
      <c r="F8" s="879"/>
      <c r="G8" s="879"/>
      <c r="H8" s="879"/>
      <c r="I8" s="872" t="s">
        <v>31</v>
      </c>
      <c r="J8" s="875" t="s">
        <v>7</v>
      </c>
      <c r="K8" s="876"/>
      <c r="L8" s="876"/>
      <c r="M8" s="876"/>
      <c r="N8" s="876"/>
      <c r="O8" s="876"/>
      <c r="P8" s="876"/>
      <c r="Q8" s="877"/>
      <c r="R8" s="879"/>
      <c r="S8" s="923"/>
      <c r="T8" s="923"/>
      <c r="U8" s="931"/>
      <c r="V8" s="893"/>
    </row>
    <row r="9" spans="1:22" ht="15.75" customHeight="1">
      <c r="A9" s="903"/>
      <c r="B9" s="904"/>
      <c r="C9" s="923"/>
      <c r="D9" s="878" t="s">
        <v>126</v>
      </c>
      <c r="E9" s="878" t="s">
        <v>127</v>
      </c>
      <c r="F9" s="879"/>
      <c r="G9" s="879"/>
      <c r="H9" s="879"/>
      <c r="I9" s="879"/>
      <c r="J9" s="878" t="s">
        <v>128</v>
      </c>
      <c r="K9" s="878" t="s">
        <v>129</v>
      </c>
      <c r="L9" s="878" t="s">
        <v>121</v>
      </c>
      <c r="M9" s="872" t="s">
        <v>105</v>
      </c>
      <c r="N9" s="872" t="s">
        <v>130</v>
      </c>
      <c r="O9" s="872" t="s">
        <v>108</v>
      </c>
      <c r="P9" s="553" t="s">
        <v>248</v>
      </c>
      <c r="Q9" s="872" t="s">
        <v>110</v>
      </c>
      <c r="R9" s="879"/>
      <c r="S9" s="923"/>
      <c r="T9" s="923"/>
      <c r="U9" s="931"/>
      <c r="V9" s="893"/>
    </row>
    <row r="10" spans="1:22" ht="22.5" customHeight="1">
      <c r="A10" s="905"/>
      <c r="B10" s="906"/>
      <c r="C10" s="922"/>
      <c r="D10" s="922"/>
      <c r="E10" s="922"/>
      <c r="F10" s="873"/>
      <c r="G10" s="873"/>
      <c r="H10" s="873"/>
      <c r="I10" s="873"/>
      <c r="J10" s="922"/>
      <c r="K10" s="922"/>
      <c r="L10" s="922"/>
      <c r="M10" s="873"/>
      <c r="N10" s="873"/>
      <c r="O10" s="873" t="s">
        <v>108</v>
      </c>
      <c r="P10" s="554" t="s">
        <v>248</v>
      </c>
      <c r="Q10" s="873" t="s">
        <v>110</v>
      </c>
      <c r="R10" s="873"/>
      <c r="S10" s="922"/>
      <c r="T10" s="922"/>
      <c r="U10" s="932"/>
      <c r="V10" s="893"/>
    </row>
    <row r="11" spans="1:22" ht="15.75">
      <c r="A11" s="928" t="s">
        <v>6</v>
      </c>
      <c r="B11" s="929"/>
      <c r="C11" s="496" t="s">
        <v>43</v>
      </c>
      <c r="D11" s="496">
        <v>2</v>
      </c>
      <c r="E11" s="496" t="s">
        <v>44</v>
      </c>
      <c r="F11" s="496">
        <v>3</v>
      </c>
      <c r="G11" s="496" t="s">
        <v>49</v>
      </c>
      <c r="H11" s="496">
        <v>4</v>
      </c>
      <c r="I11" s="496" t="s">
        <v>58</v>
      </c>
      <c r="J11" s="496">
        <v>5</v>
      </c>
      <c r="K11" s="496" t="s">
        <v>59</v>
      </c>
      <c r="L11" s="496">
        <v>6</v>
      </c>
      <c r="M11" s="496" t="s">
        <v>60</v>
      </c>
      <c r="N11" s="496">
        <v>7</v>
      </c>
      <c r="O11" s="496" t="s">
        <v>61</v>
      </c>
      <c r="P11" s="496">
        <v>8</v>
      </c>
      <c r="Q11" s="496" t="s">
        <v>62</v>
      </c>
      <c r="R11" s="496">
        <v>9</v>
      </c>
      <c r="S11" s="496" t="s">
        <v>63</v>
      </c>
      <c r="T11" s="496">
        <v>10</v>
      </c>
      <c r="U11" s="496" t="s">
        <v>83</v>
      </c>
      <c r="V11" s="496">
        <v>11</v>
      </c>
    </row>
    <row r="12" spans="1:22" ht="15.75" customHeight="1">
      <c r="A12" s="924" t="s">
        <v>30</v>
      </c>
      <c r="B12" s="925"/>
      <c r="C12" s="519">
        <f>+C13+C14</f>
        <v>588905075</v>
      </c>
      <c r="D12" s="519">
        <f aca="true" t="shared" si="0" ref="D12:S12">+D13+D14</f>
        <v>515628355</v>
      </c>
      <c r="E12" s="519">
        <f t="shared" si="0"/>
        <v>73276720</v>
      </c>
      <c r="F12" s="519">
        <f t="shared" si="0"/>
        <v>1660567</v>
      </c>
      <c r="G12" s="519">
        <f t="shared" si="0"/>
        <v>9018442</v>
      </c>
      <c r="H12" s="519">
        <f t="shared" si="0"/>
        <v>587244508</v>
      </c>
      <c r="I12" s="519">
        <f t="shared" si="0"/>
        <v>404665904</v>
      </c>
      <c r="J12" s="519">
        <f t="shared" si="0"/>
        <v>14442017</v>
      </c>
      <c r="K12" s="519">
        <f t="shared" si="0"/>
        <v>2482257</v>
      </c>
      <c r="L12" s="519">
        <f t="shared" si="0"/>
        <v>4401</v>
      </c>
      <c r="M12" s="519">
        <f t="shared" si="0"/>
        <v>362368652</v>
      </c>
      <c r="N12" s="519">
        <f t="shared" si="0"/>
        <v>12093333</v>
      </c>
      <c r="O12" s="519">
        <f t="shared" si="0"/>
        <v>202728</v>
      </c>
      <c r="P12" s="519">
        <f t="shared" si="0"/>
        <v>0</v>
      </c>
      <c r="Q12" s="519">
        <f t="shared" si="0"/>
        <v>13072516</v>
      </c>
      <c r="R12" s="519">
        <f t="shared" si="0"/>
        <v>182578604</v>
      </c>
      <c r="S12" s="519">
        <f t="shared" si="0"/>
        <v>570315833</v>
      </c>
      <c r="T12" s="520">
        <f aca="true" t="shared" si="1" ref="T12:T23">(((J12+K12+L12))/I12)*100</f>
        <v>4.18337073439229</v>
      </c>
      <c r="U12" s="521">
        <f>+I12/H12</f>
        <v>0.689092700718795</v>
      </c>
      <c r="V12" s="522">
        <f>+S12-R12</f>
        <v>387737229</v>
      </c>
    </row>
    <row r="13" spans="1:22" ht="15.75">
      <c r="A13" s="523" t="s">
        <v>0</v>
      </c>
      <c r="B13" s="524" t="s">
        <v>443</v>
      </c>
      <c r="C13" s="519">
        <f>+'07'!C12</f>
        <v>111290816</v>
      </c>
      <c r="D13" s="519">
        <f>+'07'!D12</f>
        <v>82312806</v>
      </c>
      <c r="E13" s="519">
        <f>+'07'!E12</f>
        <v>28978010</v>
      </c>
      <c r="F13" s="519">
        <f>+'07'!F12</f>
        <v>0</v>
      </c>
      <c r="G13" s="519">
        <f>+'07'!G12</f>
        <v>9018442</v>
      </c>
      <c r="H13" s="519">
        <f>+'07'!H12</f>
        <v>111290816</v>
      </c>
      <c r="I13" s="519">
        <f>+'07'!I12</f>
        <v>91691835</v>
      </c>
      <c r="J13" s="519">
        <f>+'07'!J12</f>
        <v>1830561</v>
      </c>
      <c r="K13" s="519">
        <f>+'07'!K12</f>
        <v>99850</v>
      </c>
      <c r="L13" s="519">
        <f>+'07'!L12</f>
        <v>0</v>
      </c>
      <c r="M13" s="519">
        <f>+'07'!M12</f>
        <v>80335385</v>
      </c>
      <c r="N13" s="519">
        <f>+'07'!N12</f>
        <v>4794414</v>
      </c>
      <c r="O13" s="519">
        <f>+'07'!O12</f>
        <v>23750</v>
      </c>
      <c r="P13" s="519">
        <f>+'07'!P12</f>
        <v>0</v>
      </c>
      <c r="Q13" s="519">
        <f>+'07'!Q12</f>
        <v>4607875</v>
      </c>
      <c r="R13" s="519">
        <f>+'07'!R12</f>
        <v>19598981</v>
      </c>
      <c r="S13" s="519">
        <f>+'07'!S12</f>
        <v>109360405</v>
      </c>
      <c r="T13" s="520">
        <f t="shared" si="1"/>
        <v>2.105324863440676</v>
      </c>
      <c r="U13" s="521">
        <f aca="true" t="shared" si="2" ref="U13:U23">+I13/H13</f>
        <v>0.8238939949905659</v>
      </c>
      <c r="V13" s="522">
        <f aca="true" t="shared" si="3" ref="V13:V23">+S13-R13</f>
        <v>89761424</v>
      </c>
    </row>
    <row r="14" spans="1:22" ht="15.75">
      <c r="A14" s="523" t="s">
        <v>1</v>
      </c>
      <c r="B14" s="524" t="s">
        <v>17</v>
      </c>
      <c r="C14" s="519">
        <f>SUM(C15:C23)</f>
        <v>477614259</v>
      </c>
      <c r="D14" s="519">
        <f>SUM(D15:D23)</f>
        <v>433315549</v>
      </c>
      <c r="E14" s="519">
        <f>SUM(E15:E23)</f>
        <v>44298710</v>
      </c>
      <c r="F14" s="519">
        <f>SUM(F15:F23)</f>
        <v>1660567</v>
      </c>
      <c r="G14" s="519">
        <f>SUM(G15:G23)</f>
        <v>0</v>
      </c>
      <c r="H14" s="519">
        <f>I14+R14</f>
        <v>475953692</v>
      </c>
      <c r="I14" s="519">
        <f>SUM(J14:Q14)</f>
        <v>312974069</v>
      </c>
      <c r="J14" s="519">
        <f aca="true" t="shared" si="4" ref="J14:R14">SUM(J15:J23)</f>
        <v>12611456</v>
      </c>
      <c r="K14" s="519">
        <f t="shared" si="4"/>
        <v>2382407</v>
      </c>
      <c r="L14" s="519">
        <f t="shared" si="4"/>
        <v>4401</v>
      </c>
      <c r="M14" s="519">
        <f t="shared" si="4"/>
        <v>282033267</v>
      </c>
      <c r="N14" s="519">
        <f t="shared" si="4"/>
        <v>7298919</v>
      </c>
      <c r="O14" s="519">
        <f t="shared" si="4"/>
        <v>178978</v>
      </c>
      <c r="P14" s="519">
        <f t="shared" si="4"/>
        <v>0</v>
      </c>
      <c r="Q14" s="519">
        <f t="shared" si="4"/>
        <v>8464641</v>
      </c>
      <c r="R14" s="519">
        <f t="shared" si="4"/>
        <v>162979623</v>
      </c>
      <c r="S14" s="519">
        <f>SUM(M14:R14)</f>
        <v>460955428</v>
      </c>
      <c r="T14" s="520">
        <f t="shared" si="1"/>
        <v>4.792174651376628</v>
      </c>
      <c r="U14" s="521">
        <f t="shared" si="2"/>
        <v>0.6575725207317018</v>
      </c>
      <c r="V14" s="522">
        <f t="shared" si="3"/>
        <v>297975805</v>
      </c>
    </row>
    <row r="15" spans="1:22" ht="15.75">
      <c r="A15" s="523" t="s">
        <v>43</v>
      </c>
      <c r="B15" s="524" t="s">
        <v>442</v>
      </c>
      <c r="C15" s="519">
        <f>+'07'!C23</f>
        <v>129140397</v>
      </c>
      <c r="D15" s="519">
        <f>+'07'!D23</f>
        <v>115081703</v>
      </c>
      <c r="E15" s="519">
        <f>+'07'!E23</f>
        <v>14058694</v>
      </c>
      <c r="F15" s="519">
        <f>+'07'!F23</f>
        <v>1446625</v>
      </c>
      <c r="G15" s="519">
        <f>+'07'!G23</f>
        <v>0</v>
      </c>
      <c r="H15" s="519">
        <f>+'07'!H23</f>
        <v>127693772</v>
      </c>
      <c r="I15" s="519">
        <f>+'07'!I23</f>
        <v>100956263</v>
      </c>
      <c r="J15" s="519">
        <f>+'07'!J23</f>
        <v>4266267</v>
      </c>
      <c r="K15" s="519">
        <f>+'07'!K23</f>
        <v>228196</v>
      </c>
      <c r="L15" s="519">
        <f>+'07'!L23</f>
        <v>0</v>
      </c>
      <c r="M15" s="519">
        <f>+'07'!M23</f>
        <v>87290313</v>
      </c>
      <c r="N15" s="519">
        <f>+'07'!N23</f>
        <v>4669891</v>
      </c>
      <c r="O15" s="519">
        <f>+'07'!O23</f>
        <v>0</v>
      </c>
      <c r="P15" s="519">
        <f>+'07'!P23</f>
        <v>0</v>
      </c>
      <c r="Q15" s="519">
        <f>+'07'!Q23</f>
        <v>4501596</v>
      </c>
      <c r="R15" s="519">
        <f>+'07'!R23</f>
        <v>26737509</v>
      </c>
      <c r="S15" s="519">
        <f>+'07'!S23</f>
        <v>123199309</v>
      </c>
      <c r="T15" s="520">
        <f t="shared" si="1"/>
        <v>4.451891211543756</v>
      </c>
      <c r="U15" s="521">
        <f t="shared" si="2"/>
        <v>0.7906122704245905</v>
      </c>
      <c r="V15" s="522">
        <f t="shared" si="3"/>
        <v>96461800</v>
      </c>
    </row>
    <row r="16" spans="1:22" ht="15.75">
      <c r="A16" s="523" t="s">
        <v>44</v>
      </c>
      <c r="B16" s="525" t="s">
        <v>441</v>
      </c>
      <c r="C16" s="519">
        <f>+'07'!C30</f>
        <v>51972868</v>
      </c>
      <c r="D16" s="519">
        <f>+'07'!D30</f>
        <v>47005170</v>
      </c>
      <c r="E16" s="519">
        <f>+'07'!E30</f>
        <v>4967698</v>
      </c>
      <c r="F16" s="519">
        <f>+'07'!F30</f>
        <v>10601</v>
      </c>
      <c r="G16" s="519">
        <f>+'07'!G30</f>
        <v>0</v>
      </c>
      <c r="H16" s="519">
        <f>+'07'!H30</f>
        <v>51962267</v>
      </c>
      <c r="I16" s="519">
        <f>+'07'!I30</f>
        <v>33492362</v>
      </c>
      <c r="J16" s="519">
        <f>+'07'!J30</f>
        <v>1657309</v>
      </c>
      <c r="K16" s="519">
        <f>+'07'!K30</f>
        <v>248479</v>
      </c>
      <c r="L16" s="519">
        <f>+'07'!L30</f>
        <v>0</v>
      </c>
      <c r="M16" s="519">
        <f>+'07'!M30</f>
        <v>28473243</v>
      </c>
      <c r="N16" s="519">
        <f>+'07'!N30</f>
        <v>786596</v>
      </c>
      <c r="O16" s="519">
        <f>+'07'!O30</f>
        <v>42847</v>
      </c>
      <c r="P16" s="519">
        <f>+'07'!P30</f>
        <v>0</v>
      </c>
      <c r="Q16" s="519">
        <f>+'07'!Q30</f>
        <v>2283888</v>
      </c>
      <c r="R16" s="519">
        <f>+'07'!R30</f>
        <v>18469905</v>
      </c>
      <c r="S16" s="519">
        <f>+'07'!S30</f>
        <v>50056479</v>
      </c>
      <c r="T16" s="520">
        <f t="shared" si="1"/>
        <v>5.690216772409184</v>
      </c>
      <c r="U16" s="521">
        <f t="shared" si="2"/>
        <v>0.6445515935630753</v>
      </c>
      <c r="V16" s="522">
        <f t="shared" si="3"/>
        <v>31586574</v>
      </c>
    </row>
    <row r="17" spans="1:22" ht="15.75">
      <c r="A17" s="523" t="s">
        <v>49</v>
      </c>
      <c r="B17" s="524" t="s">
        <v>440</v>
      </c>
      <c r="C17" s="519">
        <f>+'07'!C36</f>
        <v>36906836</v>
      </c>
      <c r="D17" s="519">
        <f>+'07'!D36</f>
        <v>30239382</v>
      </c>
      <c r="E17" s="519">
        <f>+'07'!E36</f>
        <v>6667454</v>
      </c>
      <c r="F17" s="519">
        <f>+'07'!F36</f>
        <v>18131</v>
      </c>
      <c r="G17" s="519">
        <f>+'07'!G36</f>
        <v>0</v>
      </c>
      <c r="H17" s="519">
        <f>+'07'!H36</f>
        <v>36888705</v>
      </c>
      <c r="I17" s="519">
        <f>+'07'!I36</f>
        <v>22970784</v>
      </c>
      <c r="J17" s="519">
        <f>+'07'!J36</f>
        <v>1557600</v>
      </c>
      <c r="K17" s="519">
        <f>+'07'!K36</f>
        <v>6343</v>
      </c>
      <c r="L17" s="519">
        <f>+'07'!L36</f>
        <v>0</v>
      </c>
      <c r="M17" s="519">
        <f>+'07'!M36</f>
        <v>20892988</v>
      </c>
      <c r="N17" s="519">
        <f>+'07'!N36</f>
        <v>403013</v>
      </c>
      <c r="O17" s="519">
        <f>+'07'!O36</f>
        <v>0</v>
      </c>
      <c r="P17" s="519">
        <f>+'07'!P36</f>
        <v>0</v>
      </c>
      <c r="Q17" s="519">
        <f>+'07'!Q36</f>
        <v>110840</v>
      </c>
      <c r="R17" s="519">
        <f>+'07'!R36</f>
        <v>13917921</v>
      </c>
      <c r="S17" s="519">
        <f>+'07'!S36</f>
        <v>35324762</v>
      </c>
      <c r="T17" s="520">
        <f t="shared" si="1"/>
        <v>6.808400618803432</v>
      </c>
      <c r="U17" s="521">
        <f t="shared" si="2"/>
        <v>0.6227050800509262</v>
      </c>
      <c r="V17" s="522">
        <f t="shared" si="3"/>
        <v>21406841</v>
      </c>
    </row>
    <row r="18" spans="1:22" ht="15.75">
      <c r="A18" s="523" t="s">
        <v>58</v>
      </c>
      <c r="B18" s="524" t="s">
        <v>439</v>
      </c>
      <c r="C18" s="519">
        <f>+'07'!C41</f>
        <v>19247196</v>
      </c>
      <c r="D18" s="519">
        <f>+'07'!D41</f>
        <v>18702254</v>
      </c>
      <c r="E18" s="519">
        <f>+'07'!E41</f>
        <v>544942</v>
      </c>
      <c r="F18" s="519">
        <f>+'07'!F41</f>
        <v>0</v>
      </c>
      <c r="G18" s="519">
        <f>+'07'!G41</f>
        <v>0</v>
      </c>
      <c r="H18" s="519">
        <f>+'07'!H41</f>
        <v>19247196</v>
      </c>
      <c r="I18" s="519">
        <f>+'07'!I41</f>
        <v>15288879</v>
      </c>
      <c r="J18" s="519">
        <f>+'07'!J41</f>
        <v>618160</v>
      </c>
      <c r="K18" s="519">
        <f>+'07'!K41</f>
        <v>20400</v>
      </c>
      <c r="L18" s="519">
        <f>+'07'!L41</f>
        <v>0</v>
      </c>
      <c r="M18" s="519">
        <f>+'07'!M41</f>
        <v>14650319</v>
      </c>
      <c r="N18" s="519">
        <f>+'07'!N41</f>
        <v>0</v>
      </c>
      <c r="O18" s="519">
        <f>+'07'!O41</f>
        <v>0</v>
      </c>
      <c r="P18" s="519">
        <f>+'07'!P41</f>
        <v>0</v>
      </c>
      <c r="Q18" s="519">
        <f>+'07'!Q41</f>
        <v>0</v>
      </c>
      <c r="R18" s="519">
        <f>+'07'!R41</f>
        <v>3958317</v>
      </c>
      <c r="S18" s="519">
        <f>+'07'!S41</f>
        <v>18608636</v>
      </c>
      <c r="T18" s="520">
        <f t="shared" si="1"/>
        <v>4.176630608431134</v>
      </c>
      <c r="U18" s="521">
        <f t="shared" si="2"/>
        <v>0.7943431864049184</v>
      </c>
      <c r="V18" s="522">
        <f t="shared" si="3"/>
        <v>14650319</v>
      </c>
    </row>
    <row r="19" spans="1:22" ht="15.75">
      <c r="A19" s="523" t="s">
        <v>59</v>
      </c>
      <c r="B19" s="524" t="s">
        <v>438</v>
      </c>
      <c r="C19" s="519">
        <f>+'07'!C45</f>
        <v>22310100</v>
      </c>
      <c r="D19" s="519">
        <f>+'07'!D45</f>
        <v>19787083</v>
      </c>
      <c r="E19" s="519">
        <f>+'07'!E45</f>
        <v>2523017</v>
      </c>
      <c r="F19" s="519">
        <f>+'07'!F45</f>
        <v>600</v>
      </c>
      <c r="G19" s="519">
        <f>+'07'!G45</f>
        <v>0</v>
      </c>
      <c r="H19" s="519">
        <f>+'07'!H45</f>
        <v>22309500</v>
      </c>
      <c r="I19" s="519">
        <f>+'07'!I45</f>
        <v>17365326</v>
      </c>
      <c r="J19" s="519">
        <f>+'07'!J45</f>
        <v>330219</v>
      </c>
      <c r="K19" s="519">
        <f>+'07'!K45</f>
        <v>9850</v>
      </c>
      <c r="L19" s="519">
        <f>+'07'!L45</f>
        <v>0</v>
      </c>
      <c r="M19" s="519">
        <f>+'07'!M45</f>
        <v>16489898</v>
      </c>
      <c r="N19" s="519">
        <f>+'07'!N45</f>
        <v>432078</v>
      </c>
      <c r="O19" s="519">
        <f>+'07'!O45</f>
        <v>103281</v>
      </c>
      <c r="P19" s="519">
        <f>+'07'!P45</f>
        <v>0</v>
      </c>
      <c r="Q19" s="519">
        <f>+'07'!Q45</f>
        <v>0</v>
      </c>
      <c r="R19" s="519">
        <f>+'07'!R45</f>
        <v>4944174</v>
      </c>
      <c r="S19" s="519">
        <f>+'07'!S45</f>
        <v>21969431</v>
      </c>
      <c r="T19" s="520">
        <f t="shared" si="1"/>
        <v>1.9583220032840156</v>
      </c>
      <c r="U19" s="521">
        <f t="shared" si="2"/>
        <v>0.7783825724467155</v>
      </c>
      <c r="V19" s="522">
        <f t="shared" si="3"/>
        <v>17025257</v>
      </c>
    </row>
    <row r="20" spans="1:22" ht="15.75">
      <c r="A20" s="523" t="s">
        <v>60</v>
      </c>
      <c r="B20" s="524" t="s">
        <v>437</v>
      </c>
      <c r="C20" s="519">
        <f>+'07'!C50</f>
        <v>60029467</v>
      </c>
      <c r="D20" s="519">
        <f>+'07'!D50</f>
        <v>56246746</v>
      </c>
      <c r="E20" s="519">
        <f>+'07'!E50</f>
        <v>3782721</v>
      </c>
      <c r="F20" s="519">
        <f>+'07'!F50</f>
        <v>0</v>
      </c>
      <c r="G20" s="519">
        <f>+'07'!G50</f>
        <v>0</v>
      </c>
      <c r="H20" s="519">
        <f>+'07'!H50</f>
        <v>60029467</v>
      </c>
      <c r="I20" s="519">
        <f>+'07'!I50</f>
        <v>19978593</v>
      </c>
      <c r="J20" s="519">
        <f>+'07'!J50</f>
        <v>724408</v>
      </c>
      <c r="K20" s="519">
        <f>+'07'!K50</f>
        <v>326465</v>
      </c>
      <c r="L20" s="519">
        <f>+'07'!L50</f>
        <v>0</v>
      </c>
      <c r="M20" s="519">
        <f>+'07'!M50</f>
        <v>18927720</v>
      </c>
      <c r="N20" s="519">
        <f>+'07'!N50</f>
        <v>0</v>
      </c>
      <c r="O20" s="519">
        <f>+'07'!O50</f>
        <v>0</v>
      </c>
      <c r="P20" s="519">
        <f>+'07'!P50</f>
        <v>0</v>
      </c>
      <c r="Q20" s="519">
        <f>+'07'!Q50</f>
        <v>0</v>
      </c>
      <c r="R20" s="519">
        <f>+'07'!R50</f>
        <v>40050874</v>
      </c>
      <c r="S20" s="519">
        <f>+'07'!S50</f>
        <v>58978594</v>
      </c>
      <c r="T20" s="520">
        <f t="shared" si="1"/>
        <v>5.259995035686447</v>
      </c>
      <c r="U20" s="521">
        <f t="shared" si="2"/>
        <v>0.3328130999397346</v>
      </c>
      <c r="V20" s="522">
        <f t="shared" si="3"/>
        <v>18927720</v>
      </c>
    </row>
    <row r="21" spans="1:22" ht="15.75">
      <c r="A21" s="523" t="s">
        <v>61</v>
      </c>
      <c r="B21" s="524" t="s">
        <v>436</v>
      </c>
      <c r="C21" s="519">
        <f>+'07'!C56</f>
        <v>29939440</v>
      </c>
      <c r="D21" s="519">
        <f>+'07'!D56</f>
        <v>26049620</v>
      </c>
      <c r="E21" s="519">
        <f>+'07'!E56</f>
        <v>3889820</v>
      </c>
      <c r="F21" s="519">
        <f>+'07'!F56</f>
        <v>184610</v>
      </c>
      <c r="G21" s="519">
        <f>+'07'!G56</f>
        <v>0</v>
      </c>
      <c r="H21" s="519">
        <f>+'07'!H56</f>
        <v>29754830</v>
      </c>
      <c r="I21" s="519">
        <f>+'07'!I56</f>
        <v>23404918</v>
      </c>
      <c r="J21" s="519">
        <f>+'07'!J56</f>
        <v>937938</v>
      </c>
      <c r="K21" s="519">
        <f>+'07'!K56</f>
        <v>277603</v>
      </c>
      <c r="L21" s="519">
        <f>+'07'!L56</f>
        <v>4401</v>
      </c>
      <c r="M21" s="519">
        <f>+'07'!M56</f>
        <v>19917224</v>
      </c>
      <c r="N21" s="519">
        <f>+'07'!N56</f>
        <v>944498</v>
      </c>
      <c r="O21" s="519">
        <f>+'07'!O56</f>
        <v>0</v>
      </c>
      <c r="P21" s="519">
        <f>+'07'!P56</f>
        <v>0</v>
      </c>
      <c r="Q21" s="519">
        <f>+'07'!Q56</f>
        <v>1323254</v>
      </c>
      <c r="R21" s="519">
        <f>+'07'!R56</f>
        <v>6349912</v>
      </c>
      <c r="S21" s="519">
        <f>+'07'!S56</f>
        <v>28534888</v>
      </c>
      <c r="T21" s="520">
        <f t="shared" si="1"/>
        <v>5.212331869737804</v>
      </c>
      <c r="U21" s="521">
        <f t="shared" si="2"/>
        <v>0.7865922272115149</v>
      </c>
      <c r="V21" s="522">
        <f t="shared" si="3"/>
        <v>22184976</v>
      </c>
    </row>
    <row r="22" spans="1:22" ht="15.75">
      <c r="A22" s="523" t="s">
        <v>62</v>
      </c>
      <c r="B22" s="524" t="s">
        <v>435</v>
      </c>
      <c r="C22" s="519">
        <f>+'07'!C62</f>
        <v>109062521</v>
      </c>
      <c r="D22" s="519">
        <f>+'07'!D62</f>
        <v>103620420</v>
      </c>
      <c r="E22" s="519">
        <f>+'07'!E62</f>
        <v>5442101</v>
      </c>
      <c r="F22" s="519">
        <f>+'07'!F62</f>
        <v>0</v>
      </c>
      <c r="G22" s="519">
        <f>+'07'!G62</f>
        <v>0</v>
      </c>
      <c r="H22" s="519">
        <f>+'07'!H62</f>
        <v>109062521</v>
      </c>
      <c r="I22" s="519">
        <f>+'07'!I62</f>
        <v>68169173</v>
      </c>
      <c r="J22" s="519">
        <f>+'07'!J62</f>
        <v>1805526</v>
      </c>
      <c r="K22" s="519">
        <f>+'07'!K62</f>
        <v>1265071</v>
      </c>
      <c r="L22" s="519">
        <f>+'07'!L62</f>
        <v>0</v>
      </c>
      <c r="M22" s="519">
        <f>+'07'!M62</f>
        <v>65050471</v>
      </c>
      <c r="N22" s="519">
        <f>+'07'!N62</f>
        <v>15255</v>
      </c>
      <c r="O22" s="519">
        <f>+'07'!O62</f>
        <v>32850</v>
      </c>
      <c r="P22" s="519">
        <f>+'07'!P62</f>
        <v>0</v>
      </c>
      <c r="Q22" s="519">
        <f>+'07'!Q62</f>
        <v>0</v>
      </c>
      <c r="R22" s="519">
        <f>+'07'!R62</f>
        <v>40893348</v>
      </c>
      <c r="S22" s="519">
        <f>+'07'!S62</f>
        <v>105991924</v>
      </c>
      <c r="T22" s="520">
        <f t="shared" si="1"/>
        <v>4.5043776605592685</v>
      </c>
      <c r="U22" s="521">
        <f t="shared" si="2"/>
        <v>0.6250467380998831</v>
      </c>
      <c r="V22" s="522">
        <f t="shared" si="3"/>
        <v>65098576</v>
      </c>
    </row>
    <row r="23" spans="1:22" ht="15.75">
      <c r="A23" s="523" t="s">
        <v>63</v>
      </c>
      <c r="B23" s="524" t="s">
        <v>434</v>
      </c>
      <c r="C23" s="519">
        <f>+'07'!C68</f>
        <v>19005434</v>
      </c>
      <c r="D23" s="519">
        <f>+'07'!D68</f>
        <v>16583171</v>
      </c>
      <c r="E23" s="519">
        <f>+'07'!E68</f>
        <v>2422263</v>
      </c>
      <c r="F23" s="519">
        <f>+'07'!F68</f>
        <v>0</v>
      </c>
      <c r="G23" s="519">
        <f>+'07'!G68</f>
        <v>0</v>
      </c>
      <c r="H23" s="519">
        <f>+'07'!H68</f>
        <v>19005434</v>
      </c>
      <c r="I23" s="519">
        <f>+'07'!I68</f>
        <v>11347771</v>
      </c>
      <c r="J23" s="519">
        <f>+'07'!J68</f>
        <v>714029</v>
      </c>
      <c r="K23" s="519">
        <f>+'07'!K68</f>
        <v>0</v>
      </c>
      <c r="L23" s="519">
        <f>+'07'!L68</f>
        <v>0</v>
      </c>
      <c r="M23" s="519">
        <f>+'07'!M68</f>
        <v>10341091</v>
      </c>
      <c r="N23" s="519">
        <f>+'07'!N68</f>
        <v>47588</v>
      </c>
      <c r="O23" s="519">
        <f>+'07'!O68</f>
        <v>0</v>
      </c>
      <c r="P23" s="519">
        <f>+'07'!P68</f>
        <v>0</v>
      </c>
      <c r="Q23" s="519">
        <f>+'07'!Q68</f>
        <v>245063</v>
      </c>
      <c r="R23" s="519">
        <f>+'07'!R68</f>
        <v>7657663</v>
      </c>
      <c r="S23" s="519">
        <f>+'07'!S68</f>
        <v>18291405</v>
      </c>
      <c r="T23" s="520">
        <f t="shared" si="1"/>
        <v>6.29224012363309</v>
      </c>
      <c r="U23" s="521">
        <f t="shared" si="2"/>
        <v>0.5970803402858361</v>
      </c>
      <c r="V23" s="522">
        <f t="shared" si="3"/>
        <v>10633742</v>
      </c>
    </row>
    <row r="24" spans="1:22" ht="16.5">
      <c r="A24" s="482"/>
      <c r="B24" s="482"/>
      <c r="C24" s="482"/>
      <c r="D24" s="482"/>
      <c r="E24" s="482"/>
      <c r="F24" s="481"/>
      <c r="G24" s="481"/>
      <c r="H24" s="481"/>
      <c r="I24" s="481"/>
      <c r="J24" s="481"/>
      <c r="K24" s="481"/>
      <c r="L24" s="481"/>
      <c r="M24" s="481"/>
      <c r="N24" s="481"/>
      <c r="O24" s="933" t="str">
        <f>+'Thong tin'!B8</f>
        <v>Trà Vinh, ngày 01 tháng 12 năm 2016</v>
      </c>
      <c r="P24" s="933"/>
      <c r="Q24" s="933"/>
      <c r="R24" s="933"/>
      <c r="S24" s="933"/>
      <c r="T24" s="933"/>
      <c r="U24" s="506"/>
      <c r="V24" s="506"/>
    </row>
    <row r="25" spans="1:22" ht="16.5">
      <c r="A25" s="480"/>
      <c r="B25" s="920"/>
      <c r="C25" s="920"/>
      <c r="D25" s="920"/>
      <c r="E25" s="920"/>
      <c r="F25" s="495"/>
      <c r="G25" s="495"/>
      <c r="H25" s="495"/>
      <c r="I25" s="495"/>
      <c r="J25" s="495"/>
      <c r="K25" s="495"/>
      <c r="L25" s="495"/>
      <c r="M25" s="495"/>
      <c r="N25" s="495"/>
      <c r="O25" s="911" t="str">
        <f>'[8]Thong tin'!B7</f>
        <v>PHÓ CỤC TRƯỞNG</v>
      </c>
      <c r="P25" s="911"/>
      <c r="Q25" s="911"/>
      <c r="R25" s="911"/>
      <c r="S25" s="911"/>
      <c r="T25" s="911"/>
      <c r="U25" s="500"/>
      <c r="V25" s="500"/>
    </row>
    <row r="26" spans="1:22" ht="16.5">
      <c r="A26" s="394"/>
      <c r="B26" s="920" t="s">
        <v>4</v>
      </c>
      <c r="C26" s="920"/>
      <c r="D26" s="920"/>
      <c r="E26" s="920"/>
      <c r="F26" s="397"/>
      <c r="G26" s="397"/>
      <c r="H26" s="397"/>
      <c r="I26" s="397"/>
      <c r="J26" s="397"/>
      <c r="K26" s="397"/>
      <c r="L26" s="397"/>
      <c r="M26" s="397"/>
      <c r="N26" s="397"/>
      <c r="O26" s="911"/>
      <c r="P26" s="911"/>
      <c r="Q26" s="911"/>
      <c r="R26" s="911"/>
      <c r="S26" s="911"/>
      <c r="T26" s="911"/>
      <c r="U26" s="500"/>
      <c r="V26" s="500"/>
    </row>
    <row r="27" spans="1:22" ht="15.75">
      <c r="A27" s="394"/>
      <c r="B27" s="494"/>
      <c r="C27" s="494"/>
      <c r="D27" s="397"/>
      <c r="E27" s="397"/>
      <c r="F27" s="397"/>
      <c r="G27" s="397"/>
      <c r="H27" s="397"/>
      <c r="I27" s="397"/>
      <c r="J27" s="397"/>
      <c r="K27" s="397"/>
      <c r="L27" s="397"/>
      <c r="M27" s="397"/>
      <c r="N27" s="397"/>
      <c r="O27" s="397"/>
      <c r="P27" s="397"/>
      <c r="Q27" s="397"/>
      <c r="R27" s="397"/>
      <c r="S27" s="494"/>
      <c r="T27" s="494"/>
      <c r="U27" s="494"/>
      <c r="V27" s="494"/>
    </row>
    <row r="28" spans="1:22" ht="15.75">
      <c r="A28" s="394"/>
      <c r="B28" s="494"/>
      <c r="C28" s="494"/>
      <c r="D28" s="397"/>
      <c r="E28" s="397"/>
      <c r="F28" s="397"/>
      <c r="G28" s="397"/>
      <c r="H28" s="397"/>
      <c r="I28" s="397"/>
      <c r="J28" s="397"/>
      <c r="K28" s="397"/>
      <c r="L28" s="397"/>
      <c r="M28" s="397"/>
      <c r="N28" s="397"/>
      <c r="O28" s="397"/>
      <c r="P28" s="397"/>
      <c r="Q28" s="397"/>
      <c r="R28" s="397"/>
      <c r="S28" s="494"/>
      <c r="T28" s="494"/>
      <c r="U28" s="494"/>
      <c r="V28" s="494"/>
    </row>
    <row r="29" spans="1:22" ht="15.75">
      <c r="A29" s="478"/>
      <c r="B29" s="494"/>
      <c r="C29" s="494"/>
      <c r="D29" s="397"/>
      <c r="E29" s="397"/>
      <c r="F29" s="397"/>
      <c r="G29" s="397"/>
      <c r="H29" s="397"/>
      <c r="I29" s="397"/>
      <c r="J29" s="397"/>
      <c r="K29" s="397"/>
      <c r="L29" s="397"/>
      <c r="M29" s="397"/>
      <c r="N29" s="397"/>
      <c r="O29" s="397"/>
      <c r="P29" s="397"/>
      <c r="Q29" s="397"/>
      <c r="R29" s="397"/>
      <c r="S29" s="494"/>
      <c r="T29" s="494"/>
      <c r="U29" s="494"/>
      <c r="V29" s="494"/>
    </row>
    <row r="30" spans="1:22" ht="15.75">
      <c r="A30" s="394"/>
      <c r="B30" s="921"/>
      <c r="C30" s="921"/>
      <c r="D30" s="921"/>
      <c r="E30" s="921"/>
      <c r="F30" s="921"/>
      <c r="G30" s="921"/>
      <c r="H30" s="921"/>
      <c r="I30" s="921"/>
      <c r="J30" s="921"/>
      <c r="K30" s="921"/>
      <c r="L30" s="921"/>
      <c r="M30" s="921"/>
      <c r="N30" s="921"/>
      <c r="O30" s="921"/>
      <c r="P30" s="921"/>
      <c r="Q30" s="397"/>
      <c r="R30" s="397"/>
      <c r="S30" s="494"/>
      <c r="T30" s="494"/>
      <c r="U30" s="494"/>
      <c r="V30" s="494"/>
    </row>
    <row r="31" spans="1:22" ht="15.75">
      <c r="A31" s="394"/>
      <c r="B31" s="921"/>
      <c r="C31" s="921"/>
      <c r="D31" s="921"/>
      <c r="E31" s="921"/>
      <c r="F31" s="921"/>
      <c r="G31" s="921"/>
      <c r="H31" s="921"/>
      <c r="I31" s="921"/>
      <c r="J31" s="921"/>
      <c r="K31" s="921"/>
      <c r="L31" s="921"/>
      <c r="M31" s="921"/>
      <c r="N31" s="921"/>
      <c r="O31" s="921"/>
      <c r="P31" s="921"/>
      <c r="Q31" s="397"/>
      <c r="R31" s="397"/>
      <c r="S31" s="494"/>
      <c r="T31" s="494"/>
      <c r="U31" s="494"/>
      <c r="V31" s="494"/>
    </row>
    <row r="32" spans="1:22" ht="15.75">
      <c r="A32" s="394"/>
      <c r="B32" s="921"/>
      <c r="C32" s="921"/>
      <c r="D32" s="921"/>
      <c r="E32" s="921"/>
      <c r="F32" s="921"/>
      <c r="G32" s="921"/>
      <c r="H32" s="921"/>
      <c r="I32" s="921"/>
      <c r="J32" s="921"/>
      <c r="K32" s="921"/>
      <c r="L32" s="921"/>
      <c r="M32" s="921"/>
      <c r="N32" s="921"/>
      <c r="O32" s="921"/>
      <c r="P32" s="921"/>
      <c r="Q32" s="397"/>
      <c r="R32" s="397"/>
      <c r="S32" s="494"/>
      <c r="T32" s="494"/>
      <c r="U32" s="494"/>
      <c r="V32" s="494"/>
    </row>
    <row r="33" spans="1:22" ht="15.75">
      <c r="A33" s="476"/>
      <c r="B33" s="895" t="s">
        <v>431</v>
      </c>
      <c r="C33" s="895"/>
      <c r="D33" s="895"/>
      <c r="E33" s="895"/>
      <c r="F33" s="493"/>
      <c r="G33" s="493"/>
      <c r="H33" s="493"/>
      <c r="I33" s="493"/>
      <c r="J33" s="493"/>
      <c r="K33" s="493"/>
      <c r="L33" s="493"/>
      <c r="M33" s="493"/>
      <c r="N33" s="493"/>
      <c r="O33" s="895" t="str">
        <f>'[8]Thong tin'!B6</f>
        <v>Trần Việt Hồng</v>
      </c>
      <c r="P33" s="895"/>
      <c r="Q33" s="895"/>
      <c r="R33" s="895"/>
      <c r="S33" s="895"/>
      <c r="T33" s="895"/>
      <c r="U33" s="502"/>
      <c r="V33" s="502"/>
    </row>
  </sheetData>
  <sheetProtection/>
  <mergeCells count="47">
    <mergeCell ref="G6:G10"/>
    <mergeCell ref="Q3:T3"/>
    <mergeCell ref="V6:V10"/>
    <mergeCell ref="E1:P1"/>
    <mergeCell ref="Q1:T1"/>
    <mergeCell ref="I8:I10"/>
    <mergeCell ref="J8:Q8"/>
    <mergeCell ref="Q4:T4"/>
    <mergeCell ref="Q5:T5"/>
    <mergeCell ref="R7:R10"/>
    <mergeCell ref="E9:E10"/>
    <mergeCell ref="O24:T24"/>
    <mergeCell ref="L9:L10"/>
    <mergeCell ref="K9:K10"/>
    <mergeCell ref="J9:J10"/>
    <mergeCell ref="T6:T10"/>
    <mergeCell ref="A2:D2"/>
    <mergeCell ref="E2:P2"/>
    <mergeCell ref="Q2:T2"/>
    <mergeCell ref="A3:D3"/>
    <mergeCell ref="E3:P3"/>
    <mergeCell ref="N9:N10"/>
    <mergeCell ref="H6:R6"/>
    <mergeCell ref="M9:M10"/>
    <mergeCell ref="S6:S10"/>
    <mergeCell ref="Q9:Q10"/>
    <mergeCell ref="U6:U10"/>
    <mergeCell ref="B32:P32"/>
    <mergeCell ref="B25:E25"/>
    <mergeCell ref="O25:T25"/>
    <mergeCell ref="C6:E6"/>
    <mergeCell ref="D9:D10"/>
    <mergeCell ref="O9:O10"/>
    <mergeCell ref="C7:C10"/>
    <mergeCell ref="A12:B12"/>
    <mergeCell ref="D7:E8"/>
    <mergeCell ref="A11:B11"/>
    <mergeCell ref="F6:F10"/>
    <mergeCell ref="A6:B10"/>
    <mergeCell ref="H7:H10"/>
    <mergeCell ref="I7:Q7"/>
    <mergeCell ref="B33:E33"/>
    <mergeCell ref="O33:T33"/>
    <mergeCell ref="B26:E26"/>
    <mergeCell ref="O26:T26"/>
    <mergeCell ref="B30:P30"/>
    <mergeCell ref="B31:P31"/>
  </mergeCells>
  <printOptions/>
  <pageMargins left="0" right="0"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U83"/>
  <sheetViews>
    <sheetView showZeros="0" view="pageBreakPreview" zoomScale="77" zoomScaleSheetLayoutView="77" zoomScalePageLayoutView="0" workbookViewId="0" topLeftCell="C56">
      <selection activeCell="Q26" sqref="Q26"/>
    </sheetView>
  </sheetViews>
  <sheetFormatPr defaultColWidth="9.00390625" defaultRowHeight="15.75"/>
  <cols>
    <col min="1" max="1" width="4.75390625" style="23" customWidth="1"/>
    <col min="2" max="2" width="18.50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9.50390625" style="23" customWidth="1"/>
    <col min="10" max="10" width="7.25390625" style="23" customWidth="1"/>
    <col min="11" max="11" width="7.375" style="23" customWidth="1"/>
    <col min="12" max="12" width="7.625" style="23" customWidth="1"/>
    <col min="13" max="14" width="5.875" style="23" customWidth="1"/>
    <col min="15" max="15" width="6.125" style="23" customWidth="1"/>
    <col min="16" max="16" width="5.25390625" style="23" customWidth="1"/>
    <col min="17" max="17" width="7.50390625" style="23" customWidth="1"/>
    <col min="18" max="18" width="7.375" style="23" customWidth="1"/>
    <col min="19" max="19" width="9.125" style="23" customWidth="1"/>
    <col min="20" max="16384" width="9.00390625" style="23" customWidth="1"/>
  </cols>
  <sheetData>
    <row r="1" spans="1:19" ht="20.25" customHeight="1">
      <c r="A1" s="412" t="s">
        <v>27</v>
      </c>
      <c r="B1" s="412"/>
      <c r="C1" s="412"/>
      <c r="E1" s="952" t="s">
        <v>66</v>
      </c>
      <c r="F1" s="952"/>
      <c r="G1" s="952"/>
      <c r="H1" s="952"/>
      <c r="I1" s="952"/>
      <c r="J1" s="952"/>
      <c r="K1" s="952"/>
      <c r="L1" s="952"/>
      <c r="M1" s="952"/>
      <c r="N1" s="952"/>
      <c r="O1" s="952"/>
      <c r="P1" s="408" t="s">
        <v>533</v>
      </c>
      <c r="Q1" s="408"/>
      <c r="R1" s="408"/>
      <c r="S1" s="408"/>
    </row>
    <row r="2" spans="1:19" ht="17.25" customHeight="1">
      <c r="A2" s="955" t="s">
        <v>242</v>
      </c>
      <c r="B2" s="955"/>
      <c r="C2" s="955"/>
      <c r="D2" s="955"/>
      <c r="E2" s="953" t="s">
        <v>34</v>
      </c>
      <c r="F2" s="953"/>
      <c r="G2" s="953"/>
      <c r="H2" s="953"/>
      <c r="I2" s="953"/>
      <c r="J2" s="953"/>
      <c r="K2" s="953"/>
      <c r="L2" s="953"/>
      <c r="M2" s="953"/>
      <c r="N2" s="953"/>
      <c r="O2" s="953"/>
      <c r="P2" s="956" t="str">
        <f>'Thong tin'!B4</f>
        <v>CTHADS TRÀ VINH</v>
      </c>
      <c r="Q2" s="956"/>
      <c r="R2" s="956"/>
      <c r="S2" s="956"/>
    </row>
    <row r="3" spans="1:19" ht="19.5" customHeight="1">
      <c r="A3" s="955" t="s">
        <v>243</v>
      </c>
      <c r="B3" s="955"/>
      <c r="C3" s="955"/>
      <c r="D3" s="955"/>
      <c r="E3" s="954" t="str">
        <f>'Thong tin'!B3</f>
        <v>02  tháng / năm 2017</v>
      </c>
      <c r="F3" s="954"/>
      <c r="G3" s="954"/>
      <c r="H3" s="954"/>
      <c r="I3" s="954"/>
      <c r="J3" s="954"/>
      <c r="K3" s="954"/>
      <c r="L3" s="954"/>
      <c r="M3" s="954"/>
      <c r="N3" s="954"/>
      <c r="O3" s="954"/>
      <c r="P3" s="408" t="s">
        <v>532</v>
      </c>
      <c r="Q3" s="412"/>
      <c r="R3" s="408"/>
      <c r="S3" s="408"/>
    </row>
    <row r="4" spans="1:19" ht="14.25" customHeight="1">
      <c r="A4" s="398" t="s">
        <v>122</v>
      </c>
      <c r="B4" s="412"/>
      <c r="C4" s="412"/>
      <c r="D4" s="412"/>
      <c r="E4" s="412"/>
      <c r="F4" s="412"/>
      <c r="G4" s="412"/>
      <c r="H4" s="412"/>
      <c r="I4" s="412"/>
      <c r="J4" s="412"/>
      <c r="K4" s="412"/>
      <c r="L4" s="412"/>
      <c r="M4" s="412"/>
      <c r="N4" s="411"/>
      <c r="O4" s="411"/>
      <c r="P4" s="958" t="s">
        <v>302</v>
      </c>
      <c r="Q4" s="958"/>
      <c r="R4" s="958"/>
      <c r="S4" s="958"/>
    </row>
    <row r="5" spans="2:19" ht="21.75" customHeight="1">
      <c r="B5" s="380"/>
      <c r="C5" s="380"/>
      <c r="Q5" s="410" t="s">
        <v>531</v>
      </c>
      <c r="R5" s="409"/>
      <c r="S5" s="409"/>
    </row>
    <row r="6" spans="1:19" ht="19.5" customHeight="1">
      <c r="A6" s="944" t="s">
        <v>57</v>
      </c>
      <c r="B6" s="944"/>
      <c r="C6" s="941" t="s">
        <v>123</v>
      </c>
      <c r="D6" s="941"/>
      <c r="E6" s="941"/>
      <c r="F6" s="945" t="s">
        <v>101</v>
      </c>
      <c r="G6" s="945" t="s">
        <v>124</v>
      </c>
      <c r="H6" s="946" t="s">
        <v>102</v>
      </c>
      <c r="I6" s="946"/>
      <c r="J6" s="946"/>
      <c r="K6" s="946"/>
      <c r="L6" s="946"/>
      <c r="M6" s="946"/>
      <c r="N6" s="946"/>
      <c r="O6" s="946"/>
      <c r="P6" s="946"/>
      <c r="Q6" s="946"/>
      <c r="R6" s="941" t="s">
        <v>247</v>
      </c>
      <c r="S6" s="941" t="s">
        <v>530</v>
      </c>
    </row>
    <row r="7" spans="1:19" s="408" customFormat="1" ht="27" customHeight="1">
      <c r="A7" s="944"/>
      <c r="B7" s="944"/>
      <c r="C7" s="941" t="s">
        <v>42</v>
      </c>
      <c r="D7" s="941" t="s">
        <v>7</v>
      </c>
      <c r="E7" s="941"/>
      <c r="F7" s="945"/>
      <c r="G7" s="945"/>
      <c r="H7" s="945" t="s">
        <v>102</v>
      </c>
      <c r="I7" s="941" t="s">
        <v>103</v>
      </c>
      <c r="J7" s="941"/>
      <c r="K7" s="941"/>
      <c r="L7" s="941"/>
      <c r="M7" s="941"/>
      <c r="N7" s="941"/>
      <c r="O7" s="941"/>
      <c r="P7" s="941"/>
      <c r="Q7" s="945" t="s">
        <v>111</v>
      </c>
      <c r="R7" s="941"/>
      <c r="S7" s="941"/>
    </row>
    <row r="8" spans="1:19" ht="21.75" customHeight="1">
      <c r="A8" s="944"/>
      <c r="B8" s="944"/>
      <c r="C8" s="941"/>
      <c r="D8" s="941" t="s">
        <v>126</v>
      </c>
      <c r="E8" s="941" t="s">
        <v>127</v>
      </c>
      <c r="F8" s="945"/>
      <c r="G8" s="945"/>
      <c r="H8" s="945"/>
      <c r="I8" s="945" t="s">
        <v>529</v>
      </c>
      <c r="J8" s="941" t="s">
        <v>7</v>
      </c>
      <c r="K8" s="941"/>
      <c r="L8" s="941"/>
      <c r="M8" s="941"/>
      <c r="N8" s="941"/>
      <c r="O8" s="941"/>
      <c r="P8" s="941"/>
      <c r="Q8" s="945"/>
      <c r="R8" s="941"/>
      <c r="S8" s="941"/>
    </row>
    <row r="9" spans="1:19" ht="84" customHeight="1">
      <c r="A9" s="944"/>
      <c r="B9" s="944"/>
      <c r="C9" s="941"/>
      <c r="D9" s="941"/>
      <c r="E9" s="941"/>
      <c r="F9" s="945"/>
      <c r="G9" s="945"/>
      <c r="H9" s="945"/>
      <c r="I9" s="945"/>
      <c r="J9" s="407" t="s">
        <v>128</v>
      </c>
      <c r="K9" s="407" t="s">
        <v>129</v>
      </c>
      <c r="L9" s="406" t="s">
        <v>105</v>
      </c>
      <c r="M9" s="406" t="s">
        <v>130</v>
      </c>
      <c r="N9" s="406" t="s">
        <v>108</v>
      </c>
      <c r="O9" s="406" t="s">
        <v>248</v>
      </c>
      <c r="P9" s="406" t="s">
        <v>110</v>
      </c>
      <c r="Q9" s="945"/>
      <c r="R9" s="941"/>
      <c r="S9" s="941"/>
    </row>
    <row r="10" spans="1:19" ht="15" customHeight="1">
      <c r="A10" s="940" t="s">
        <v>6</v>
      </c>
      <c r="B10" s="940"/>
      <c r="C10" s="405">
        <v>1</v>
      </c>
      <c r="D10" s="405">
        <v>2</v>
      </c>
      <c r="E10" s="405">
        <v>3</v>
      </c>
      <c r="F10" s="405">
        <v>4</v>
      </c>
      <c r="G10" s="405">
        <v>5</v>
      </c>
      <c r="H10" s="405">
        <v>6</v>
      </c>
      <c r="I10" s="405">
        <v>7</v>
      </c>
      <c r="J10" s="405">
        <v>8</v>
      </c>
      <c r="K10" s="405">
        <v>9</v>
      </c>
      <c r="L10" s="405">
        <v>10</v>
      </c>
      <c r="M10" s="405">
        <v>11</v>
      </c>
      <c r="N10" s="405">
        <v>12</v>
      </c>
      <c r="O10" s="405">
        <v>13</v>
      </c>
      <c r="P10" s="405">
        <v>14</v>
      </c>
      <c r="Q10" s="405">
        <v>15</v>
      </c>
      <c r="R10" s="405">
        <v>16</v>
      </c>
      <c r="S10" s="405">
        <v>17</v>
      </c>
    </row>
    <row r="11" spans="1:21" ht="18" customHeight="1">
      <c r="A11" s="950" t="s">
        <v>30</v>
      </c>
      <c r="B11" s="951"/>
      <c r="C11" s="437">
        <f aca="true" t="shared" si="0" ref="C11:R11">+C12+C22</f>
        <v>8142</v>
      </c>
      <c r="D11" s="437">
        <f t="shared" si="0"/>
        <v>6334</v>
      </c>
      <c r="E11" s="437">
        <f t="shared" si="0"/>
        <v>1808</v>
      </c>
      <c r="F11" s="437">
        <f t="shared" si="0"/>
        <v>9</v>
      </c>
      <c r="G11" s="437">
        <f t="shared" si="0"/>
        <v>3</v>
      </c>
      <c r="H11" s="437">
        <f t="shared" si="0"/>
        <v>8133</v>
      </c>
      <c r="I11" s="437">
        <f t="shared" si="0"/>
        <v>5442</v>
      </c>
      <c r="J11" s="437">
        <f t="shared" si="0"/>
        <v>1034</v>
      </c>
      <c r="K11" s="437">
        <f t="shared" si="0"/>
        <v>36</v>
      </c>
      <c r="L11" s="437">
        <f t="shared" si="0"/>
        <v>4107</v>
      </c>
      <c r="M11" s="437">
        <f t="shared" si="0"/>
        <v>87</v>
      </c>
      <c r="N11" s="437">
        <f t="shared" si="0"/>
        <v>5</v>
      </c>
      <c r="O11" s="437">
        <f t="shared" si="0"/>
        <v>0</v>
      </c>
      <c r="P11" s="437">
        <f t="shared" si="0"/>
        <v>173</v>
      </c>
      <c r="Q11" s="437">
        <f t="shared" si="0"/>
        <v>2691</v>
      </c>
      <c r="R11" s="437">
        <f t="shared" si="0"/>
        <v>7063</v>
      </c>
      <c r="S11" s="438">
        <f aca="true" t="shared" si="1" ref="S11:S71">(((J11+K11))/I11)*100</f>
        <v>19.66188901139287</v>
      </c>
      <c r="T11" s="497">
        <f>+C11-(F11+G11+H11)</f>
        <v>-3</v>
      </c>
      <c r="U11" s="557" t="s">
        <v>568</v>
      </c>
    </row>
    <row r="12" spans="1:20" ht="18" customHeight="1">
      <c r="A12" s="439" t="s">
        <v>0</v>
      </c>
      <c r="B12" s="440" t="s">
        <v>133</v>
      </c>
      <c r="C12" s="437">
        <f aca="true" t="shared" si="2" ref="C12:R12">SUM(C13:C21)</f>
        <v>237</v>
      </c>
      <c r="D12" s="437">
        <f t="shared" si="2"/>
        <v>190</v>
      </c>
      <c r="E12" s="437">
        <f t="shared" si="2"/>
        <v>47</v>
      </c>
      <c r="F12" s="437">
        <f t="shared" si="2"/>
        <v>0</v>
      </c>
      <c r="G12" s="437">
        <f t="shared" si="2"/>
        <v>3</v>
      </c>
      <c r="H12" s="437">
        <f t="shared" si="2"/>
        <v>237</v>
      </c>
      <c r="I12" s="437">
        <f t="shared" si="2"/>
        <v>172</v>
      </c>
      <c r="J12" s="437">
        <f t="shared" si="2"/>
        <v>23</v>
      </c>
      <c r="K12" s="437">
        <f t="shared" si="2"/>
        <v>0</v>
      </c>
      <c r="L12" s="437">
        <f t="shared" si="2"/>
        <v>118</v>
      </c>
      <c r="M12" s="437">
        <f t="shared" si="2"/>
        <v>12</v>
      </c>
      <c r="N12" s="437">
        <f t="shared" si="2"/>
        <v>1</v>
      </c>
      <c r="O12" s="437">
        <f t="shared" si="2"/>
        <v>0</v>
      </c>
      <c r="P12" s="437">
        <f t="shared" si="2"/>
        <v>18</v>
      </c>
      <c r="Q12" s="437">
        <f t="shared" si="2"/>
        <v>65</v>
      </c>
      <c r="R12" s="437">
        <f t="shared" si="2"/>
        <v>214</v>
      </c>
      <c r="S12" s="438">
        <f t="shared" si="1"/>
        <v>13.372093023255813</v>
      </c>
      <c r="T12" s="497">
        <f aca="true" t="shared" si="3" ref="T12:T72">+C12-(F12+G12+H12)</f>
        <v>-3</v>
      </c>
    </row>
    <row r="13" spans="1:20" ht="18" customHeight="1">
      <c r="A13" s="393" t="s">
        <v>43</v>
      </c>
      <c r="B13" s="441" t="s">
        <v>432</v>
      </c>
      <c r="C13" s="437">
        <f aca="true" t="shared" si="4" ref="C13:C29">+D13+E13</f>
        <v>0</v>
      </c>
      <c r="D13" s="437">
        <v>0</v>
      </c>
      <c r="E13" s="442"/>
      <c r="F13" s="442"/>
      <c r="G13" s="442"/>
      <c r="H13" s="437">
        <f aca="true" t="shared" si="5" ref="H13:H29">SUM(I13,Q13)</f>
        <v>0</v>
      </c>
      <c r="I13" s="437">
        <f aca="true" t="shared" si="6" ref="I13:I29">SUM(J13:P13)</f>
        <v>0</v>
      </c>
      <c r="J13" s="442"/>
      <c r="K13" s="442"/>
      <c r="L13" s="442"/>
      <c r="M13" s="442"/>
      <c r="N13" s="442"/>
      <c r="O13" s="442"/>
      <c r="P13" s="442"/>
      <c r="Q13" s="442"/>
      <c r="R13" s="443">
        <f>SUM(L13:Q13)</f>
        <v>0</v>
      </c>
      <c r="S13" s="444" t="e">
        <f t="shared" si="1"/>
        <v>#DIV/0!</v>
      </c>
      <c r="T13" s="497">
        <f t="shared" si="3"/>
        <v>0</v>
      </c>
    </row>
    <row r="14" spans="1:20" ht="18" customHeight="1">
      <c r="A14" s="393" t="s">
        <v>44</v>
      </c>
      <c r="B14" s="441" t="s">
        <v>525</v>
      </c>
      <c r="C14" s="437">
        <f t="shared" si="4"/>
        <v>0</v>
      </c>
      <c r="D14" s="437">
        <v>0</v>
      </c>
      <c r="E14" s="442"/>
      <c r="F14" s="442"/>
      <c r="G14" s="442"/>
      <c r="H14" s="437">
        <f t="shared" si="5"/>
        <v>0</v>
      </c>
      <c r="I14" s="437">
        <f t="shared" si="6"/>
        <v>0</v>
      </c>
      <c r="J14" s="442"/>
      <c r="K14" s="442"/>
      <c r="L14" s="442"/>
      <c r="M14" s="442"/>
      <c r="N14" s="442"/>
      <c r="O14" s="442"/>
      <c r="P14" s="442"/>
      <c r="Q14" s="442"/>
      <c r="R14" s="443">
        <f aca="true" t="shared" si="7" ref="R14:R21">SUM(L14:Q14)</f>
        <v>0</v>
      </c>
      <c r="S14" s="444" t="e">
        <f t="shared" si="1"/>
        <v>#DIV/0!</v>
      </c>
      <c r="T14" s="497">
        <f t="shared" si="3"/>
        <v>0</v>
      </c>
    </row>
    <row r="15" spans="1:21" ht="18" customHeight="1">
      <c r="A15" s="393" t="s">
        <v>49</v>
      </c>
      <c r="B15" s="441" t="s">
        <v>524</v>
      </c>
      <c r="C15" s="437">
        <f t="shared" si="4"/>
        <v>19</v>
      </c>
      <c r="D15" s="437">
        <v>17</v>
      </c>
      <c r="E15" s="531">
        <v>2</v>
      </c>
      <c r="F15" s="442"/>
      <c r="G15" s="442">
        <v>2</v>
      </c>
      <c r="H15" s="437">
        <f t="shared" si="5"/>
        <v>19</v>
      </c>
      <c r="I15" s="437">
        <f t="shared" si="6"/>
        <v>18</v>
      </c>
      <c r="J15" s="442">
        <v>0</v>
      </c>
      <c r="K15" s="442">
        <v>0</v>
      </c>
      <c r="L15" s="442">
        <v>17</v>
      </c>
      <c r="M15" s="442">
        <v>0</v>
      </c>
      <c r="N15" s="442">
        <v>1</v>
      </c>
      <c r="O15" s="442"/>
      <c r="P15" s="442"/>
      <c r="Q15" s="442">
        <v>1</v>
      </c>
      <c r="R15" s="443">
        <f t="shared" si="7"/>
        <v>19</v>
      </c>
      <c r="S15" s="444">
        <f t="shared" si="1"/>
        <v>0</v>
      </c>
      <c r="T15" s="497">
        <f t="shared" si="3"/>
        <v>-2</v>
      </c>
      <c r="U15" s="557" t="s">
        <v>568</v>
      </c>
    </row>
    <row r="16" spans="1:20" ht="18" customHeight="1">
      <c r="A16" s="393" t="s">
        <v>58</v>
      </c>
      <c r="B16" s="441" t="s">
        <v>523</v>
      </c>
      <c r="C16" s="437">
        <f t="shared" si="4"/>
        <v>64</v>
      </c>
      <c r="D16" s="437">
        <v>52</v>
      </c>
      <c r="E16" s="442">
        <v>12</v>
      </c>
      <c r="F16" s="442"/>
      <c r="G16" s="442"/>
      <c r="H16" s="437">
        <f t="shared" si="5"/>
        <v>64</v>
      </c>
      <c r="I16" s="437">
        <f t="shared" si="6"/>
        <v>52</v>
      </c>
      <c r="J16" s="442">
        <v>9</v>
      </c>
      <c r="K16" s="442"/>
      <c r="L16" s="442">
        <v>35</v>
      </c>
      <c r="M16" s="442">
        <v>8</v>
      </c>
      <c r="N16" s="442"/>
      <c r="O16" s="442"/>
      <c r="P16" s="442"/>
      <c r="Q16" s="442">
        <v>12</v>
      </c>
      <c r="R16" s="443">
        <f t="shared" si="7"/>
        <v>55</v>
      </c>
      <c r="S16" s="444">
        <f t="shared" si="1"/>
        <v>17.307692307692307</v>
      </c>
      <c r="T16" s="497">
        <f t="shared" si="3"/>
        <v>0</v>
      </c>
    </row>
    <row r="17" spans="1:20" ht="18" customHeight="1">
      <c r="A17" s="393" t="s">
        <v>59</v>
      </c>
      <c r="B17" s="396" t="s">
        <v>522</v>
      </c>
      <c r="C17" s="437">
        <f t="shared" si="4"/>
        <v>39</v>
      </c>
      <c r="D17" s="437">
        <v>26</v>
      </c>
      <c r="E17" s="442">
        <v>13</v>
      </c>
      <c r="F17" s="442"/>
      <c r="G17" s="442"/>
      <c r="H17" s="437">
        <f t="shared" si="5"/>
        <v>39</v>
      </c>
      <c r="I17" s="437">
        <f t="shared" si="6"/>
        <v>27</v>
      </c>
      <c r="J17" s="442">
        <v>9</v>
      </c>
      <c r="K17" s="442"/>
      <c r="L17" s="442">
        <v>14</v>
      </c>
      <c r="M17" s="442"/>
      <c r="N17" s="442"/>
      <c r="O17" s="442"/>
      <c r="P17" s="442">
        <v>4</v>
      </c>
      <c r="Q17" s="442">
        <v>12</v>
      </c>
      <c r="R17" s="443">
        <f t="shared" si="7"/>
        <v>30</v>
      </c>
      <c r="S17" s="444">
        <f t="shared" si="1"/>
        <v>33.33333333333333</v>
      </c>
      <c r="T17" s="497">
        <f t="shared" si="3"/>
        <v>0</v>
      </c>
    </row>
    <row r="18" spans="1:20" ht="18" customHeight="1">
      <c r="A18" s="393" t="s">
        <v>60</v>
      </c>
      <c r="B18" s="441" t="s">
        <v>521</v>
      </c>
      <c r="C18" s="437">
        <f t="shared" si="4"/>
        <v>15</v>
      </c>
      <c r="D18" s="437">
        <v>15</v>
      </c>
      <c r="E18" s="442">
        <v>0</v>
      </c>
      <c r="F18" s="442"/>
      <c r="G18" s="442"/>
      <c r="H18" s="437">
        <f t="shared" si="5"/>
        <v>15</v>
      </c>
      <c r="I18" s="437">
        <f t="shared" si="6"/>
        <v>11</v>
      </c>
      <c r="J18" s="442">
        <v>0</v>
      </c>
      <c r="K18" s="442"/>
      <c r="L18" s="442">
        <v>10</v>
      </c>
      <c r="M18" s="442">
        <v>1</v>
      </c>
      <c r="N18" s="442"/>
      <c r="O18" s="442"/>
      <c r="P18" s="442"/>
      <c r="Q18" s="442">
        <v>4</v>
      </c>
      <c r="R18" s="443">
        <f t="shared" si="7"/>
        <v>15</v>
      </c>
      <c r="S18" s="444">
        <f t="shared" si="1"/>
        <v>0</v>
      </c>
      <c r="T18" s="497">
        <f t="shared" si="3"/>
        <v>0</v>
      </c>
    </row>
    <row r="19" spans="1:20" ht="18" customHeight="1">
      <c r="A19" s="393" t="s">
        <v>61</v>
      </c>
      <c r="B19" s="441" t="s">
        <v>520</v>
      </c>
      <c r="C19" s="437">
        <f t="shared" si="4"/>
        <v>34</v>
      </c>
      <c r="D19" s="437">
        <v>27</v>
      </c>
      <c r="E19" s="442">
        <v>7</v>
      </c>
      <c r="F19" s="531"/>
      <c r="G19" s="442"/>
      <c r="H19" s="437">
        <f t="shared" si="5"/>
        <v>34</v>
      </c>
      <c r="I19" s="437">
        <f t="shared" si="6"/>
        <v>21</v>
      </c>
      <c r="J19" s="442">
        <v>2</v>
      </c>
      <c r="K19" s="442">
        <v>0</v>
      </c>
      <c r="L19" s="442">
        <v>16</v>
      </c>
      <c r="M19" s="442"/>
      <c r="N19" s="442"/>
      <c r="O19" s="442"/>
      <c r="P19" s="442">
        <v>3</v>
      </c>
      <c r="Q19" s="442">
        <v>13</v>
      </c>
      <c r="R19" s="443">
        <f t="shared" si="7"/>
        <v>32</v>
      </c>
      <c r="S19" s="444">
        <f t="shared" si="1"/>
        <v>9.523809523809524</v>
      </c>
      <c r="T19" s="497">
        <f t="shared" si="3"/>
        <v>0</v>
      </c>
    </row>
    <row r="20" spans="1:20" ht="18" customHeight="1">
      <c r="A20" s="393" t="s">
        <v>62</v>
      </c>
      <c r="B20" s="441" t="s">
        <v>519</v>
      </c>
      <c r="C20" s="437">
        <f t="shared" si="4"/>
        <v>40</v>
      </c>
      <c r="D20" s="437">
        <v>29</v>
      </c>
      <c r="E20" s="442">
        <f>5+6</f>
        <v>11</v>
      </c>
      <c r="F20" s="531"/>
      <c r="G20" s="442"/>
      <c r="H20" s="437">
        <f t="shared" si="5"/>
        <v>40</v>
      </c>
      <c r="I20" s="437">
        <f t="shared" si="6"/>
        <v>28</v>
      </c>
      <c r="J20" s="442">
        <v>3</v>
      </c>
      <c r="K20" s="442">
        <v>0</v>
      </c>
      <c r="L20" s="442">
        <v>18</v>
      </c>
      <c r="M20" s="442">
        <v>1</v>
      </c>
      <c r="N20" s="442"/>
      <c r="O20" s="442"/>
      <c r="P20" s="442">
        <v>6</v>
      </c>
      <c r="Q20" s="442">
        <v>12</v>
      </c>
      <c r="R20" s="443">
        <f t="shared" si="7"/>
        <v>37</v>
      </c>
      <c r="S20" s="444">
        <f t="shared" si="1"/>
        <v>10.714285714285714</v>
      </c>
      <c r="T20" s="497">
        <f t="shared" si="3"/>
        <v>0</v>
      </c>
    </row>
    <row r="21" spans="1:21" ht="18" customHeight="1">
      <c r="A21" s="393" t="s">
        <v>63</v>
      </c>
      <c r="B21" s="441" t="s">
        <v>518</v>
      </c>
      <c r="C21" s="437">
        <f t="shared" si="4"/>
        <v>26</v>
      </c>
      <c r="D21" s="437">
        <v>24</v>
      </c>
      <c r="E21" s="437">
        <v>2</v>
      </c>
      <c r="F21" s="442"/>
      <c r="G21" s="442">
        <v>1</v>
      </c>
      <c r="H21" s="437">
        <f t="shared" si="5"/>
        <v>26</v>
      </c>
      <c r="I21" s="437">
        <f t="shared" si="6"/>
        <v>15</v>
      </c>
      <c r="J21" s="442">
        <v>0</v>
      </c>
      <c r="K21" s="442">
        <v>0</v>
      </c>
      <c r="L21" s="442">
        <v>8</v>
      </c>
      <c r="M21" s="437">
        <v>2</v>
      </c>
      <c r="N21" s="442"/>
      <c r="O21" s="442"/>
      <c r="P21" s="442">
        <v>5</v>
      </c>
      <c r="Q21" s="442">
        <v>11</v>
      </c>
      <c r="R21" s="443">
        <f t="shared" si="7"/>
        <v>26</v>
      </c>
      <c r="S21" s="444">
        <f t="shared" si="1"/>
        <v>0</v>
      </c>
      <c r="T21" s="497">
        <f t="shared" si="3"/>
        <v>-1</v>
      </c>
      <c r="U21" s="557" t="s">
        <v>568</v>
      </c>
    </row>
    <row r="22" spans="1:20" ht="18" customHeight="1">
      <c r="A22" s="439" t="s">
        <v>1</v>
      </c>
      <c r="B22" s="440" t="s">
        <v>17</v>
      </c>
      <c r="C22" s="437">
        <f t="shared" si="4"/>
        <v>7905</v>
      </c>
      <c r="D22" s="437">
        <f>SUM(D23,D30,D36,D41,D45,D50,D56,D62,D68)</f>
        <v>6144</v>
      </c>
      <c r="E22" s="437">
        <f>SUM(E23,E30,E36,E41,E45,E50,E56,E62,E68)</f>
        <v>1761</v>
      </c>
      <c r="F22" s="437">
        <f>SUM(F23,F30,F36,F41,F45,F50,F56,F62,F68)</f>
        <v>9</v>
      </c>
      <c r="G22" s="437">
        <f>SUM(G23,G30,G36,G41,G45,G50,G56,G62,G68)</f>
        <v>0</v>
      </c>
      <c r="H22" s="437">
        <f t="shared" si="5"/>
        <v>7896</v>
      </c>
      <c r="I22" s="437">
        <f t="shared" si="6"/>
        <v>5270</v>
      </c>
      <c r="J22" s="437">
        <f aca="true" t="shared" si="8" ref="J22:R22">SUM(J23,J30,J36,J41,J45,J50,J56,J62,J68)</f>
        <v>1011</v>
      </c>
      <c r="K22" s="437">
        <f t="shared" si="8"/>
        <v>36</v>
      </c>
      <c r="L22" s="437">
        <f t="shared" si="8"/>
        <v>3989</v>
      </c>
      <c r="M22" s="437">
        <f t="shared" si="8"/>
        <v>75</v>
      </c>
      <c r="N22" s="437">
        <f t="shared" si="8"/>
        <v>4</v>
      </c>
      <c r="O22" s="437">
        <f t="shared" si="8"/>
        <v>0</v>
      </c>
      <c r="P22" s="437">
        <f t="shared" si="8"/>
        <v>155</v>
      </c>
      <c r="Q22" s="437">
        <f t="shared" si="8"/>
        <v>2626</v>
      </c>
      <c r="R22" s="437">
        <f t="shared" si="8"/>
        <v>6849</v>
      </c>
      <c r="S22" s="438">
        <f t="shared" si="1"/>
        <v>19.86717267552182</v>
      </c>
      <c r="T22" s="497">
        <f t="shared" si="3"/>
        <v>0</v>
      </c>
    </row>
    <row r="23" spans="1:20" ht="18" customHeight="1">
      <c r="A23" s="439" t="s">
        <v>43</v>
      </c>
      <c r="B23" s="440" t="s">
        <v>517</v>
      </c>
      <c r="C23" s="437">
        <f t="shared" si="4"/>
        <v>1038</v>
      </c>
      <c r="D23" s="437">
        <f>SUM(D24:D29)</f>
        <v>798</v>
      </c>
      <c r="E23" s="437">
        <f>SUM(E24:E29)</f>
        <v>240</v>
      </c>
      <c r="F23" s="437">
        <f>SUM(F24:F29)</f>
        <v>1</v>
      </c>
      <c r="G23" s="437">
        <f>SUM(G24:G29)</f>
        <v>0</v>
      </c>
      <c r="H23" s="437">
        <f t="shared" si="5"/>
        <v>1037</v>
      </c>
      <c r="I23" s="437">
        <f t="shared" si="6"/>
        <v>731</v>
      </c>
      <c r="J23" s="437">
        <f aca="true" t="shared" si="9" ref="J23:Q23">SUM(J24:J29)</f>
        <v>92</v>
      </c>
      <c r="K23" s="437">
        <f t="shared" si="9"/>
        <v>1</v>
      </c>
      <c r="L23" s="437">
        <f t="shared" si="9"/>
        <v>573</v>
      </c>
      <c r="M23" s="437">
        <f t="shared" si="9"/>
        <v>20</v>
      </c>
      <c r="N23" s="437">
        <f t="shared" si="9"/>
        <v>0</v>
      </c>
      <c r="O23" s="437">
        <f t="shared" si="9"/>
        <v>0</v>
      </c>
      <c r="P23" s="437">
        <f t="shared" si="9"/>
        <v>45</v>
      </c>
      <c r="Q23" s="437">
        <f t="shared" si="9"/>
        <v>306</v>
      </c>
      <c r="R23" s="443">
        <f aca="true" t="shared" si="10" ref="R23:R30">SUM(L23:Q23)</f>
        <v>944</v>
      </c>
      <c r="S23" s="438">
        <f t="shared" si="1"/>
        <v>12.722298221614228</v>
      </c>
      <c r="T23" s="497">
        <f t="shared" si="3"/>
        <v>0</v>
      </c>
    </row>
    <row r="24" spans="1:20" ht="18" customHeight="1">
      <c r="A24" s="393" t="s">
        <v>45</v>
      </c>
      <c r="B24" s="441" t="s">
        <v>516</v>
      </c>
      <c r="C24" s="437">
        <f t="shared" si="4"/>
        <v>81</v>
      </c>
      <c r="D24" s="445">
        <v>43</v>
      </c>
      <c r="E24" s="445">
        <v>38</v>
      </c>
      <c r="F24" s="445"/>
      <c r="G24" s="445"/>
      <c r="H24" s="437">
        <f t="shared" si="5"/>
        <v>81</v>
      </c>
      <c r="I24" s="437">
        <f t="shared" si="6"/>
        <v>58</v>
      </c>
      <c r="J24" s="445">
        <v>16</v>
      </c>
      <c r="K24" s="445"/>
      <c r="L24" s="445">
        <v>41</v>
      </c>
      <c r="M24" s="445"/>
      <c r="N24" s="445"/>
      <c r="O24" s="445"/>
      <c r="P24" s="446">
        <v>1</v>
      </c>
      <c r="Q24" s="529">
        <v>23</v>
      </c>
      <c r="R24" s="443">
        <f t="shared" si="10"/>
        <v>65</v>
      </c>
      <c r="S24" s="444">
        <f t="shared" si="1"/>
        <v>27.586206896551722</v>
      </c>
      <c r="T24" s="497">
        <f t="shared" si="3"/>
        <v>0</v>
      </c>
    </row>
    <row r="25" spans="1:20" ht="18" customHeight="1">
      <c r="A25" s="393" t="s">
        <v>46</v>
      </c>
      <c r="B25" s="441" t="s">
        <v>515</v>
      </c>
      <c r="C25" s="437">
        <f t="shared" si="4"/>
        <v>267</v>
      </c>
      <c r="D25" s="445">
        <v>197</v>
      </c>
      <c r="E25" s="445">
        <v>70</v>
      </c>
      <c r="F25" s="445"/>
      <c r="G25" s="445"/>
      <c r="H25" s="437">
        <f t="shared" si="5"/>
        <v>267</v>
      </c>
      <c r="I25" s="437">
        <f t="shared" si="6"/>
        <v>196</v>
      </c>
      <c r="J25" s="445">
        <v>12</v>
      </c>
      <c r="K25" s="445"/>
      <c r="L25" s="445">
        <v>140</v>
      </c>
      <c r="M25" s="445">
        <v>18</v>
      </c>
      <c r="N25" s="445"/>
      <c r="O25" s="445"/>
      <c r="P25" s="446">
        <v>26</v>
      </c>
      <c r="Q25" s="529">
        <v>71</v>
      </c>
      <c r="R25" s="443">
        <f t="shared" si="10"/>
        <v>255</v>
      </c>
      <c r="S25" s="444">
        <f t="shared" si="1"/>
        <v>6.122448979591836</v>
      </c>
      <c r="T25" s="497">
        <f t="shared" si="3"/>
        <v>0</v>
      </c>
    </row>
    <row r="26" spans="1:20" ht="18" customHeight="1">
      <c r="A26" s="393" t="s">
        <v>104</v>
      </c>
      <c r="B26" s="441" t="s">
        <v>514</v>
      </c>
      <c r="C26" s="437">
        <f t="shared" si="4"/>
        <v>185</v>
      </c>
      <c r="D26" s="445">
        <v>159</v>
      </c>
      <c r="E26" s="445">
        <v>26</v>
      </c>
      <c r="F26" s="445"/>
      <c r="G26" s="445"/>
      <c r="H26" s="437">
        <f t="shared" si="5"/>
        <v>185</v>
      </c>
      <c r="I26" s="437">
        <f t="shared" si="6"/>
        <v>125</v>
      </c>
      <c r="J26" s="445">
        <v>10</v>
      </c>
      <c r="K26" s="445"/>
      <c r="L26" s="445">
        <v>98</v>
      </c>
      <c r="M26" s="445">
        <v>1</v>
      </c>
      <c r="N26" s="445"/>
      <c r="O26" s="445"/>
      <c r="P26" s="446">
        <v>16</v>
      </c>
      <c r="Q26" s="529">
        <v>60</v>
      </c>
      <c r="R26" s="443">
        <f t="shared" si="10"/>
        <v>175</v>
      </c>
      <c r="S26" s="444">
        <f t="shared" si="1"/>
        <v>8</v>
      </c>
      <c r="T26" s="497">
        <f t="shared" si="3"/>
        <v>0</v>
      </c>
    </row>
    <row r="27" spans="1:20" ht="18" customHeight="1">
      <c r="A27" s="393" t="s">
        <v>106</v>
      </c>
      <c r="B27" s="441" t="s">
        <v>513</v>
      </c>
      <c r="C27" s="437">
        <f t="shared" si="4"/>
        <v>141</v>
      </c>
      <c r="D27" s="445">
        <v>116</v>
      </c>
      <c r="E27" s="445">
        <v>25</v>
      </c>
      <c r="F27" s="445"/>
      <c r="G27" s="445"/>
      <c r="H27" s="437">
        <f t="shared" si="5"/>
        <v>141</v>
      </c>
      <c r="I27" s="437">
        <f t="shared" si="6"/>
        <v>90</v>
      </c>
      <c r="J27" s="445">
        <v>19</v>
      </c>
      <c r="K27" s="445">
        <v>1</v>
      </c>
      <c r="L27" s="445">
        <v>68</v>
      </c>
      <c r="M27" s="445">
        <v>1</v>
      </c>
      <c r="N27" s="445"/>
      <c r="O27" s="445"/>
      <c r="P27" s="446">
        <v>1</v>
      </c>
      <c r="Q27" s="529">
        <v>51</v>
      </c>
      <c r="R27" s="443">
        <f t="shared" si="10"/>
        <v>121</v>
      </c>
      <c r="S27" s="444">
        <f t="shared" si="1"/>
        <v>22.22222222222222</v>
      </c>
      <c r="T27" s="497">
        <f t="shared" si="3"/>
        <v>0</v>
      </c>
    </row>
    <row r="28" spans="1:20" ht="18" customHeight="1">
      <c r="A28" s="393" t="s">
        <v>107</v>
      </c>
      <c r="B28" s="441" t="s">
        <v>512</v>
      </c>
      <c r="C28" s="437">
        <f t="shared" si="4"/>
        <v>220</v>
      </c>
      <c r="D28" s="447">
        <v>167</v>
      </c>
      <c r="E28" s="447">
        <v>53</v>
      </c>
      <c r="F28" s="447"/>
      <c r="G28" s="445"/>
      <c r="H28" s="437">
        <f t="shared" si="5"/>
        <v>220</v>
      </c>
      <c r="I28" s="437">
        <f t="shared" si="6"/>
        <v>171</v>
      </c>
      <c r="J28" s="447">
        <v>19</v>
      </c>
      <c r="K28" s="447"/>
      <c r="L28" s="447">
        <v>152</v>
      </c>
      <c r="M28" s="447"/>
      <c r="N28" s="447"/>
      <c r="O28" s="447"/>
      <c r="P28" s="448"/>
      <c r="Q28" s="530">
        <v>49</v>
      </c>
      <c r="R28" s="443">
        <f t="shared" si="10"/>
        <v>201</v>
      </c>
      <c r="S28" s="444">
        <f t="shared" si="1"/>
        <v>11.11111111111111</v>
      </c>
      <c r="T28" s="497">
        <f t="shared" si="3"/>
        <v>0</v>
      </c>
    </row>
    <row r="29" spans="1:20" ht="18" customHeight="1">
      <c r="A29" s="393" t="s">
        <v>109</v>
      </c>
      <c r="B29" s="441" t="s">
        <v>511</v>
      </c>
      <c r="C29" s="437">
        <f t="shared" si="4"/>
        <v>144</v>
      </c>
      <c r="D29" s="445">
        <v>116</v>
      </c>
      <c r="E29" s="445">
        <v>28</v>
      </c>
      <c r="F29" s="445">
        <v>1</v>
      </c>
      <c r="G29" s="445"/>
      <c r="H29" s="437">
        <f t="shared" si="5"/>
        <v>143</v>
      </c>
      <c r="I29" s="437">
        <f t="shared" si="6"/>
        <v>91</v>
      </c>
      <c r="J29" s="445">
        <v>16</v>
      </c>
      <c r="K29" s="445"/>
      <c r="L29" s="445">
        <v>74</v>
      </c>
      <c r="M29" s="445"/>
      <c r="N29" s="445"/>
      <c r="O29" s="445"/>
      <c r="P29" s="446">
        <v>1</v>
      </c>
      <c r="Q29" s="529">
        <v>52</v>
      </c>
      <c r="R29" s="443">
        <f t="shared" si="10"/>
        <v>127</v>
      </c>
      <c r="S29" s="444">
        <f t="shared" si="1"/>
        <v>17.582417582417584</v>
      </c>
      <c r="T29" s="497">
        <f t="shared" si="3"/>
        <v>0</v>
      </c>
    </row>
    <row r="30" spans="1:20" ht="18" customHeight="1">
      <c r="A30" s="439" t="s">
        <v>44</v>
      </c>
      <c r="B30" s="440" t="s">
        <v>510</v>
      </c>
      <c r="C30" s="437">
        <f>C31+C32+C33+C34+C35</f>
        <v>977</v>
      </c>
      <c r="D30" s="437">
        <f>D31+D32+D33+D34+D35</f>
        <v>810</v>
      </c>
      <c r="E30" s="437">
        <f>E31+E32+E33+E34+E35</f>
        <v>167</v>
      </c>
      <c r="F30" s="437">
        <f>F31+F32+F33+F34+F35</f>
        <v>3</v>
      </c>
      <c r="G30" s="437">
        <f>G31+G32+G33+G34+G35</f>
        <v>0</v>
      </c>
      <c r="H30" s="437">
        <f aca="true" t="shared" si="11" ref="H30:H35">I30+Q30</f>
        <v>974</v>
      </c>
      <c r="I30" s="437">
        <f aca="true" t="shared" si="12" ref="I30:Q30">I31+I32+I33+I34+I35</f>
        <v>574</v>
      </c>
      <c r="J30" s="437">
        <f t="shared" si="12"/>
        <v>114</v>
      </c>
      <c r="K30" s="437">
        <f t="shared" si="12"/>
        <v>5</v>
      </c>
      <c r="L30" s="437">
        <f t="shared" si="12"/>
        <v>415</v>
      </c>
      <c r="M30" s="437">
        <f t="shared" si="12"/>
        <v>9</v>
      </c>
      <c r="N30" s="437">
        <f t="shared" si="12"/>
        <v>1</v>
      </c>
      <c r="O30" s="437">
        <f t="shared" si="12"/>
        <v>0</v>
      </c>
      <c r="P30" s="437">
        <f t="shared" si="12"/>
        <v>30</v>
      </c>
      <c r="Q30" s="437">
        <f t="shared" si="12"/>
        <v>400</v>
      </c>
      <c r="R30" s="443">
        <f t="shared" si="10"/>
        <v>855</v>
      </c>
      <c r="S30" s="438">
        <f t="shared" si="1"/>
        <v>20.73170731707317</v>
      </c>
      <c r="T30" s="497">
        <f t="shared" si="3"/>
        <v>0</v>
      </c>
    </row>
    <row r="31" spans="1:20" ht="18" customHeight="1">
      <c r="A31" s="393" t="s">
        <v>47</v>
      </c>
      <c r="B31" s="441" t="s">
        <v>509</v>
      </c>
      <c r="C31" s="437">
        <f>+D31+E31</f>
        <v>25</v>
      </c>
      <c r="D31" s="532">
        <v>19</v>
      </c>
      <c r="E31" s="532">
        <v>6</v>
      </c>
      <c r="F31" s="531"/>
      <c r="G31" s="531"/>
      <c r="H31" s="437">
        <f t="shared" si="11"/>
        <v>25</v>
      </c>
      <c r="I31" s="437">
        <f>J31+K31+L31+M31+N31+O31+P31</f>
        <v>21</v>
      </c>
      <c r="J31" s="532">
        <v>3</v>
      </c>
      <c r="K31" s="531"/>
      <c r="L31" s="532">
        <v>18</v>
      </c>
      <c r="M31" s="531"/>
      <c r="N31" s="531"/>
      <c r="O31" s="531"/>
      <c r="P31" s="531"/>
      <c r="Q31" s="532">
        <v>4</v>
      </c>
      <c r="R31" s="451">
        <f>+Q31+P31+O31+N31+M31+L31</f>
        <v>22</v>
      </c>
      <c r="S31" s="444">
        <f t="shared" si="1"/>
        <v>14.285714285714285</v>
      </c>
      <c r="T31" s="497">
        <f t="shared" si="3"/>
        <v>0</v>
      </c>
    </row>
    <row r="32" spans="1:20" ht="18" customHeight="1">
      <c r="A32" s="393" t="s">
        <v>48</v>
      </c>
      <c r="B32" s="441" t="s">
        <v>508</v>
      </c>
      <c r="C32" s="437">
        <f>+D32+E32</f>
        <v>365</v>
      </c>
      <c r="D32" s="532">
        <v>301</v>
      </c>
      <c r="E32" s="532">
        <v>64</v>
      </c>
      <c r="F32" s="531"/>
      <c r="G32" s="442"/>
      <c r="H32" s="437">
        <f t="shared" si="11"/>
        <v>365</v>
      </c>
      <c r="I32" s="437">
        <f>J32+K32+L32+M32+N32+O32+P32</f>
        <v>165</v>
      </c>
      <c r="J32" s="532">
        <v>41</v>
      </c>
      <c r="K32" s="532">
        <v>1</v>
      </c>
      <c r="L32" s="532">
        <v>105</v>
      </c>
      <c r="M32" s="532">
        <v>7</v>
      </c>
      <c r="N32" s="531"/>
      <c r="O32" s="531"/>
      <c r="P32" s="532">
        <v>11</v>
      </c>
      <c r="Q32" s="532">
        <v>200</v>
      </c>
      <c r="R32" s="443">
        <f>+Q32+P32+O32+N32+M32+L32</f>
        <v>323</v>
      </c>
      <c r="S32" s="444">
        <f t="shared" si="1"/>
        <v>25.454545454545453</v>
      </c>
      <c r="T32" s="497">
        <f t="shared" si="3"/>
        <v>0</v>
      </c>
    </row>
    <row r="33" spans="1:20" ht="18" customHeight="1">
      <c r="A33" s="393" t="s">
        <v>507</v>
      </c>
      <c r="B33" s="441" t="s">
        <v>506</v>
      </c>
      <c r="C33" s="437">
        <f>+D33+E33</f>
        <v>249</v>
      </c>
      <c r="D33" s="532">
        <v>211</v>
      </c>
      <c r="E33" s="532">
        <v>38</v>
      </c>
      <c r="F33" s="532">
        <v>2</v>
      </c>
      <c r="G33" s="442"/>
      <c r="H33" s="437">
        <f t="shared" si="11"/>
        <v>247</v>
      </c>
      <c r="I33" s="437">
        <f>J33+K33+L33+M33+N33+O33+P33</f>
        <v>123</v>
      </c>
      <c r="J33" s="532">
        <v>19</v>
      </c>
      <c r="K33" s="532">
        <v>1</v>
      </c>
      <c r="L33" s="532">
        <v>103</v>
      </c>
      <c r="M33" s="531"/>
      <c r="N33" s="531"/>
      <c r="O33" s="531"/>
      <c r="P33" s="531"/>
      <c r="Q33" s="532">
        <v>124</v>
      </c>
      <c r="R33" s="443">
        <f>+Q33+P33+O33+N33+M33+L33</f>
        <v>227</v>
      </c>
      <c r="S33" s="444">
        <f t="shared" si="1"/>
        <v>16.260162601626014</v>
      </c>
      <c r="T33" s="497">
        <f t="shared" si="3"/>
        <v>0</v>
      </c>
    </row>
    <row r="34" spans="1:20" ht="18" customHeight="1">
      <c r="A34" s="393" t="s">
        <v>505</v>
      </c>
      <c r="B34" s="441" t="s">
        <v>504</v>
      </c>
      <c r="C34" s="437">
        <f>+D34+E34</f>
        <v>123</v>
      </c>
      <c r="D34" s="532">
        <v>90</v>
      </c>
      <c r="E34" s="532">
        <v>33</v>
      </c>
      <c r="F34" s="531"/>
      <c r="G34" s="442"/>
      <c r="H34" s="437">
        <f t="shared" si="11"/>
        <v>123</v>
      </c>
      <c r="I34" s="437">
        <f>J34+K34+L34+M34+N34+O34+P34</f>
        <v>84</v>
      </c>
      <c r="J34" s="532">
        <v>28</v>
      </c>
      <c r="K34" s="531"/>
      <c r="L34" s="532">
        <v>39</v>
      </c>
      <c r="M34" s="532">
        <v>1</v>
      </c>
      <c r="N34" s="531"/>
      <c r="O34" s="531"/>
      <c r="P34" s="532">
        <v>16</v>
      </c>
      <c r="Q34" s="532">
        <v>39</v>
      </c>
      <c r="R34" s="443">
        <f>+Q34+P34+O34+N34+M34+L34</f>
        <v>95</v>
      </c>
      <c r="S34" s="444">
        <f t="shared" si="1"/>
        <v>33.33333333333333</v>
      </c>
      <c r="T34" s="497">
        <f t="shared" si="3"/>
        <v>0</v>
      </c>
    </row>
    <row r="35" spans="1:20" ht="18" customHeight="1">
      <c r="A35" s="393" t="s">
        <v>503</v>
      </c>
      <c r="B35" s="441" t="s">
        <v>502</v>
      </c>
      <c r="C35" s="437">
        <f>+D35+E35</f>
        <v>215</v>
      </c>
      <c r="D35" s="532">
        <v>189</v>
      </c>
      <c r="E35" s="532">
        <v>26</v>
      </c>
      <c r="F35" s="532">
        <v>1</v>
      </c>
      <c r="G35" s="442"/>
      <c r="H35" s="437">
        <f t="shared" si="11"/>
        <v>214</v>
      </c>
      <c r="I35" s="437">
        <f>J35+K35+L35+M35+N35+O35+P35</f>
        <v>181</v>
      </c>
      <c r="J35" s="532">
        <v>23</v>
      </c>
      <c r="K35" s="532">
        <v>3</v>
      </c>
      <c r="L35" s="532">
        <v>150</v>
      </c>
      <c r="M35" s="532">
        <v>1</v>
      </c>
      <c r="N35" s="532">
        <v>1</v>
      </c>
      <c r="O35" s="531"/>
      <c r="P35" s="532">
        <v>3</v>
      </c>
      <c r="Q35" s="532">
        <v>33</v>
      </c>
      <c r="R35" s="443">
        <f>+Q35+P35+O35+N35+M35+L35</f>
        <v>188</v>
      </c>
      <c r="S35" s="444">
        <f t="shared" si="1"/>
        <v>14.3646408839779</v>
      </c>
      <c r="T35" s="497">
        <f t="shared" si="3"/>
        <v>0</v>
      </c>
    </row>
    <row r="36" spans="1:20" ht="18" customHeight="1">
      <c r="A36" s="439" t="s">
        <v>49</v>
      </c>
      <c r="B36" s="440" t="s">
        <v>501</v>
      </c>
      <c r="C36" s="437">
        <f>C37+C38+C39+C40</f>
        <v>663</v>
      </c>
      <c r="D36" s="437">
        <f>D37+D38+D39+D40</f>
        <v>511</v>
      </c>
      <c r="E36" s="437">
        <f>E37+E38+E39+E40</f>
        <v>152</v>
      </c>
      <c r="F36" s="437">
        <f>F37+F38+F39+F40</f>
        <v>0</v>
      </c>
      <c r="G36" s="437">
        <f>G37+G38+G39+G40</f>
        <v>0</v>
      </c>
      <c r="H36" s="437">
        <f aca="true" t="shared" si="13" ref="H36:R36">+H37+H38+H39+H40</f>
        <v>663</v>
      </c>
      <c r="I36" s="437">
        <f t="shared" si="13"/>
        <v>433</v>
      </c>
      <c r="J36" s="437">
        <f t="shared" si="13"/>
        <v>82</v>
      </c>
      <c r="K36" s="437">
        <f t="shared" si="13"/>
        <v>0</v>
      </c>
      <c r="L36" s="437">
        <f t="shared" si="13"/>
        <v>342</v>
      </c>
      <c r="M36" s="437">
        <f t="shared" si="13"/>
        <v>5</v>
      </c>
      <c r="N36" s="437">
        <f t="shared" si="13"/>
        <v>0</v>
      </c>
      <c r="O36" s="437">
        <f t="shared" si="13"/>
        <v>0</v>
      </c>
      <c r="P36" s="437">
        <f t="shared" si="13"/>
        <v>4</v>
      </c>
      <c r="Q36" s="437">
        <f t="shared" si="13"/>
        <v>230</v>
      </c>
      <c r="R36" s="437">
        <f t="shared" si="13"/>
        <v>581</v>
      </c>
      <c r="S36" s="438">
        <f t="shared" si="1"/>
        <v>18.937644341801384</v>
      </c>
      <c r="T36" s="497">
        <f t="shared" si="3"/>
        <v>0</v>
      </c>
    </row>
    <row r="37" spans="1:20" ht="18" customHeight="1">
      <c r="A37" s="393" t="s">
        <v>112</v>
      </c>
      <c r="B37" s="441" t="s">
        <v>500</v>
      </c>
      <c r="C37" s="437">
        <f aca="true" t="shared" si="14" ref="C37:C72">+D37+E37</f>
        <v>45</v>
      </c>
      <c r="D37" s="535">
        <v>30</v>
      </c>
      <c r="E37" s="535">
        <v>15</v>
      </c>
      <c r="F37" s="445"/>
      <c r="G37" s="442"/>
      <c r="H37" s="437">
        <f>I37+Q37</f>
        <v>45</v>
      </c>
      <c r="I37" s="437">
        <f>J37+K37+L37+M37+N37+O37+P37</f>
        <v>33</v>
      </c>
      <c r="J37" s="535">
        <v>7</v>
      </c>
      <c r="K37" s="535"/>
      <c r="L37" s="535">
        <v>24</v>
      </c>
      <c r="M37" s="535">
        <v>2</v>
      </c>
      <c r="N37" s="535"/>
      <c r="O37" s="535"/>
      <c r="P37" s="537"/>
      <c r="Q37" s="538">
        <v>12</v>
      </c>
      <c r="R37" s="443">
        <f>+Q37+P37+O37+N37+M37+L37</f>
        <v>38</v>
      </c>
      <c r="S37" s="444">
        <f t="shared" si="1"/>
        <v>21.21212121212121</v>
      </c>
      <c r="T37" s="497">
        <f t="shared" si="3"/>
        <v>0</v>
      </c>
    </row>
    <row r="38" spans="1:20" ht="18" customHeight="1">
      <c r="A38" s="393" t="s">
        <v>113</v>
      </c>
      <c r="B38" s="441" t="s">
        <v>499</v>
      </c>
      <c r="C38" s="437">
        <f t="shared" si="14"/>
        <v>146</v>
      </c>
      <c r="D38" s="536" t="s">
        <v>550</v>
      </c>
      <c r="E38" s="536" t="s">
        <v>559</v>
      </c>
      <c r="F38" s="449"/>
      <c r="G38" s="442"/>
      <c r="H38" s="437">
        <f>I38+Q38</f>
        <v>146</v>
      </c>
      <c r="I38" s="437">
        <f>J38+K38+L38+M38+N38+O38+P38</f>
        <v>108</v>
      </c>
      <c r="J38" s="536" t="s">
        <v>562</v>
      </c>
      <c r="K38" s="536"/>
      <c r="L38" s="536" t="s">
        <v>565</v>
      </c>
      <c r="M38" s="536"/>
      <c r="N38" s="536"/>
      <c r="O38" s="536"/>
      <c r="P38" s="539"/>
      <c r="Q38" s="540" t="s">
        <v>553</v>
      </c>
      <c r="R38" s="443">
        <f>+Q38+P38+O38+N38+M38+L38</f>
        <v>127</v>
      </c>
      <c r="S38" s="444">
        <f t="shared" si="1"/>
        <v>17.59259259259259</v>
      </c>
      <c r="T38" s="497">
        <f t="shared" si="3"/>
        <v>0</v>
      </c>
    </row>
    <row r="39" spans="1:20" ht="18" customHeight="1">
      <c r="A39" s="393" t="s">
        <v>114</v>
      </c>
      <c r="B39" s="441" t="s">
        <v>498</v>
      </c>
      <c r="C39" s="437">
        <f t="shared" si="14"/>
        <v>285</v>
      </c>
      <c r="D39" s="536" t="s">
        <v>551</v>
      </c>
      <c r="E39" s="536" t="s">
        <v>560</v>
      </c>
      <c r="F39" s="449"/>
      <c r="G39" s="442"/>
      <c r="H39" s="437">
        <f>I39+Q39</f>
        <v>285</v>
      </c>
      <c r="I39" s="437">
        <f>J39+K39+L39+M39+N39+O39+P39</f>
        <v>155</v>
      </c>
      <c r="J39" s="536" t="s">
        <v>563</v>
      </c>
      <c r="K39" s="536"/>
      <c r="L39" s="536" t="s">
        <v>549</v>
      </c>
      <c r="M39" s="536" t="s">
        <v>44</v>
      </c>
      <c r="N39" s="536"/>
      <c r="O39" s="536"/>
      <c r="P39" s="539"/>
      <c r="Q39" s="540" t="s">
        <v>537</v>
      </c>
      <c r="R39" s="443">
        <f>+Q39+P39+O39+N39+M39+L39</f>
        <v>253</v>
      </c>
      <c r="S39" s="444">
        <f t="shared" si="1"/>
        <v>20.64516129032258</v>
      </c>
      <c r="T39" s="497">
        <f t="shared" si="3"/>
        <v>0</v>
      </c>
    </row>
    <row r="40" spans="1:20" ht="18" customHeight="1">
      <c r="A40" s="393" t="s">
        <v>497</v>
      </c>
      <c r="B40" s="441" t="s">
        <v>496</v>
      </c>
      <c r="C40" s="437">
        <f t="shared" si="14"/>
        <v>187</v>
      </c>
      <c r="D40" s="536" t="s">
        <v>552</v>
      </c>
      <c r="E40" s="536" t="s">
        <v>561</v>
      </c>
      <c r="F40" s="449"/>
      <c r="G40" s="442"/>
      <c r="H40" s="437">
        <f>I40+Q40</f>
        <v>187</v>
      </c>
      <c r="I40" s="437">
        <f>J40+K40+L40+M40+N40+O40+P40</f>
        <v>137</v>
      </c>
      <c r="J40" s="536" t="s">
        <v>564</v>
      </c>
      <c r="K40" s="536"/>
      <c r="L40" s="536" t="s">
        <v>566</v>
      </c>
      <c r="M40" s="536" t="s">
        <v>43</v>
      </c>
      <c r="N40" s="536"/>
      <c r="O40" s="536"/>
      <c r="P40" s="541" t="s">
        <v>58</v>
      </c>
      <c r="Q40" s="540" t="s">
        <v>554</v>
      </c>
      <c r="R40" s="443">
        <f>+Q40+P40+O40+N40+M40+L40</f>
        <v>163</v>
      </c>
      <c r="S40" s="444">
        <f t="shared" si="1"/>
        <v>17.51824817518248</v>
      </c>
      <c r="T40" s="497">
        <f t="shared" si="3"/>
        <v>0</v>
      </c>
    </row>
    <row r="41" spans="1:20" ht="18" customHeight="1">
      <c r="A41" s="439" t="s">
        <v>58</v>
      </c>
      <c r="B41" s="440" t="s">
        <v>495</v>
      </c>
      <c r="C41" s="437">
        <f t="shared" si="14"/>
        <v>428</v>
      </c>
      <c r="D41" s="437">
        <f>SUM(D42:D44)</f>
        <v>324</v>
      </c>
      <c r="E41" s="437">
        <f>SUM(E42:E44)</f>
        <v>104</v>
      </c>
      <c r="F41" s="437">
        <f>SUM(F42:F44)</f>
        <v>0</v>
      </c>
      <c r="G41" s="437">
        <f>SUM(G42:G44)</f>
        <v>0</v>
      </c>
      <c r="H41" s="437">
        <f aca="true" t="shared" si="15" ref="H41:H67">SUM(I41,Q41)</f>
        <v>428</v>
      </c>
      <c r="I41" s="437">
        <f aca="true" t="shared" si="16" ref="I41:I67">SUM(J41:P41)</f>
        <v>311</v>
      </c>
      <c r="J41" s="437">
        <f aca="true" t="shared" si="17" ref="J41:Q41">SUM(J42:J44)</f>
        <v>52</v>
      </c>
      <c r="K41" s="437">
        <f t="shared" si="17"/>
        <v>2</v>
      </c>
      <c r="L41" s="437">
        <f t="shared" si="17"/>
        <v>257</v>
      </c>
      <c r="M41" s="437">
        <f t="shared" si="17"/>
        <v>0</v>
      </c>
      <c r="N41" s="437">
        <f t="shared" si="17"/>
        <v>0</v>
      </c>
      <c r="O41" s="437">
        <f t="shared" si="17"/>
        <v>0</v>
      </c>
      <c r="P41" s="437">
        <f t="shared" si="17"/>
        <v>0</v>
      </c>
      <c r="Q41" s="437">
        <f t="shared" si="17"/>
        <v>117</v>
      </c>
      <c r="R41" s="443">
        <f aca="true" t="shared" si="18" ref="R41:R72">SUM(L41:Q41)</f>
        <v>374</v>
      </c>
      <c r="S41" s="438">
        <f t="shared" si="1"/>
        <v>17.363344051446948</v>
      </c>
      <c r="T41" s="497">
        <f t="shared" si="3"/>
        <v>0</v>
      </c>
    </row>
    <row r="42" spans="1:20" ht="18" customHeight="1">
      <c r="A42" s="393" t="s">
        <v>115</v>
      </c>
      <c r="B42" s="441" t="s">
        <v>494</v>
      </c>
      <c r="C42" s="437">
        <f t="shared" si="14"/>
        <v>49</v>
      </c>
      <c r="D42" s="450">
        <v>44</v>
      </c>
      <c r="E42" s="450">
        <v>5</v>
      </c>
      <c r="F42" s="450"/>
      <c r="G42" s="450"/>
      <c r="H42" s="437">
        <f>+I42+Q42</f>
        <v>49</v>
      </c>
      <c r="I42" s="437">
        <f>+J42+K42+L42+M42+N42+O42+P42</f>
        <v>36</v>
      </c>
      <c r="J42" s="450">
        <v>2</v>
      </c>
      <c r="K42" s="450">
        <v>0</v>
      </c>
      <c r="L42" s="450">
        <v>34</v>
      </c>
      <c r="M42" s="450">
        <v>0</v>
      </c>
      <c r="N42" s="450">
        <v>0</v>
      </c>
      <c r="O42" s="450">
        <v>0</v>
      </c>
      <c r="P42" s="452">
        <v>0</v>
      </c>
      <c r="Q42" s="453">
        <v>13</v>
      </c>
      <c r="R42" s="443">
        <f t="shared" si="18"/>
        <v>47</v>
      </c>
      <c r="S42" s="444">
        <f t="shared" si="1"/>
        <v>5.555555555555555</v>
      </c>
      <c r="T42" s="497">
        <f t="shared" si="3"/>
        <v>0</v>
      </c>
    </row>
    <row r="43" spans="1:20" ht="18" customHeight="1">
      <c r="A43" s="393" t="s">
        <v>116</v>
      </c>
      <c r="B43" s="441" t="s">
        <v>493</v>
      </c>
      <c r="C43" s="437">
        <f t="shared" si="14"/>
        <v>192</v>
      </c>
      <c r="D43" s="534">
        <v>132</v>
      </c>
      <c r="E43" s="450">
        <v>60</v>
      </c>
      <c r="F43" s="450"/>
      <c r="G43" s="450"/>
      <c r="H43" s="437">
        <f>+I43+Q43</f>
        <v>192</v>
      </c>
      <c r="I43" s="437">
        <f>+J43+K43+L43+M43+N43+O43+P43</f>
        <v>154</v>
      </c>
      <c r="J43" s="450">
        <v>22</v>
      </c>
      <c r="K43" s="450">
        <v>0</v>
      </c>
      <c r="L43" s="450">
        <v>132</v>
      </c>
      <c r="M43" s="450">
        <v>0</v>
      </c>
      <c r="N43" s="450">
        <v>0</v>
      </c>
      <c r="O43" s="450">
        <v>0</v>
      </c>
      <c r="P43" s="452">
        <v>0</v>
      </c>
      <c r="Q43" s="453">
        <v>38</v>
      </c>
      <c r="R43" s="443">
        <f t="shared" si="18"/>
        <v>170</v>
      </c>
      <c r="S43" s="444">
        <f t="shared" si="1"/>
        <v>14.285714285714285</v>
      </c>
      <c r="T43" s="497">
        <f t="shared" si="3"/>
        <v>0</v>
      </c>
    </row>
    <row r="44" spans="1:20" ht="18" customHeight="1">
      <c r="A44" s="393" t="s">
        <v>117</v>
      </c>
      <c r="B44" s="441" t="s">
        <v>492</v>
      </c>
      <c r="C44" s="437">
        <f t="shared" si="14"/>
        <v>187</v>
      </c>
      <c r="D44" s="450">
        <v>148</v>
      </c>
      <c r="E44" s="450">
        <v>39</v>
      </c>
      <c r="F44" s="450"/>
      <c r="G44" s="450"/>
      <c r="H44" s="437">
        <f>+I44+Q44</f>
        <v>187</v>
      </c>
      <c r="I44" s="437">
        <f>+J44+K44+L44+M44+N44+O44+P44</f>
        <v>121</v>
      </c>
      <c r="J44" s="450">
        <v>28</v>
      </c>
      <c r="K44" s="450">
        <v>2</v>
      </c>
      <c r="L44" s="450">
        <v>91</v>
      </c>
      <c r="M44" s="450">
        <v>0</v>
      </c>
      <c r="N44" s="450">
        <v>0</v>
      </c>
      <c r="O44" s="450">
        <v>0</v>
      </c>
      <c r="P44" s="452">
        <v>0</v>
      </c>
      <c r="Q44" s="453">
        <v>66</v>
      </c>
      <c r="R44" s="443">
        <f t="shared" si="18"/>
        <v>157</v>
      </c>
      <c r="S44" s="444">
        <f t="shared" si="1"/>
        <v>24.793388429752067</v>
      </c>
      <c r="T44" s="497">
        <f t="shared" si="3"/>
        <v>0</v>
      </c>
    </row>
    <row r="45" spans="1:20" ht="18" customHeight="1">
      <c r="A45" s="439" t="s">
        <v>59</v>
      </c>
      <c r="B45" s="440" t="s">
        <v>491</v>
      </c>
      <c r="C45" s="437">
        <f t="shared" si="14"/>
        <v>505</v>
      </c>
      <c r="D45" s="437">
        <f>SUM(D46:D49)</f>
        <v>362</v>
      </c>
      <c r="E45" s="437">
        <f>SUM(E46:E49)</f>
        <v>143</v>
      </c>
      <c r="F45" s="437">
        <f>SUM(F46:F49)</f>
        <v>1</v>
      </c>
      <c r="G45" s="437">
        <f>SUM(G46:G49)</f>
        <v>0</v>
      </c>
      <c r="H45" s="437">
        <f t="shared" si="15"/>
        <v>504</v>
      </c>
      <c r="I45" s="437">
        <f t="shared" si="16"/>
        <v>355</v>
      </c>
      <c r="J45" s="437">
        <f aca="true" t="shared" si="19" ref="J45:Q45">SUM(J46:J49)</f>
        <v>82</v>
      </c>
      <c r="K45" s="437">
        <f t="shared" si="19"/>
        <v>3</v>
      </c>
      <c r="L45" s="437">
        <f t="shared" si="19"/>
        <v>262</v>
      </c>
      <c r="M45" s="437">
        <f t="shared" si="19"/>
        <v>6</v>
      </c>
      <c r="N45" s="437">
        <f t="shared" si="19"/>
        <v>2</v>
      </c>
      <c r="O45" s="437">
        <f t="shared" si="19"/>
        <v>0</v>
      </c>
      <c r="P45" s="437">
        <f t="shared" si="19"/>
        <v>0</v>
      </c>
      <c r="Q45" s="437">
        <f t="shared" si="19"/>
        <v>149</v>
      </c>
      <c r="R45" s="443">
        <f t="shared" si="18"/>
        <v>419</v>
      </c>
      <c r="S45" s="438">
        <f t="shared" si="1"/>
        <v>23.943661971830984</v>
      </c>
      <c r="T45" s="497">
        <f t="shared" si="3"/>
        <v>0</v>
      </c>
    </row>
    <row r="46" spans="1:20" ht="18" customHeight="1">
      <c r="A46" s="393" t="s">
        <v>118</v>
      </c>
      <c r="B46" s="454" t="s">
        <v>490</v>
      </c>
      <c r="C46" s="437">
        <f t="shared" si="14"/>
        <v>85</v>
      </c>
      <c r="D46" s="550">
        <v>32</v>
      </c>
      <c r="E46" s="550">
        <v>53</v>
      </c>
      <c r="F46" s="550">
        <v>1</v>
      </c>
      <c r="G46" s="455"/>
      <c r="H46" s="437">
        <f t="shared" si="15"/>
        <v>84</v>
      </c>
      <c r="I46" s="437">
        <f t="shared" si="16"/>
        <v>73</v>
      </c>
      <c r="J46" s="531">
        <v>28</v>
      </c>
      <c r="K46" s="455"/>
      <c r="L46" s="531">
        <v>45</v>
      </c>
      <c r="M46" s="455"/>
      <c r="N46" s="455"/>
      <c r="O46" s="455"/>
      <c r="P46" s="455"/>
      <c r="Q46" s="550">
        <v>11</v>
      </c>
      <c r="R46" s="443">
        <f t="shared" si="18"/>
        <v>56</v>
      </c>
      <c r="S46" s="444">
        <f t="shared" si="1"/>
        <v>38.35616438356164</v>
      </c>
      <c r="T46" s="497">
        <f t="shared" si="3"/>
        <v>0</v>
      </c>
    </row>
    <row r="47" spans="1:20" ht="18" customHeight="1">
      <c r="A47" s="393" t="s">
        <v>119</v>
      </c>
      <c r="B47" s="456" t="s">
        <v>489</v>
      </c>
      <c r="C47" s="437">
        <f t="shared" si="14"/>
        <v>108</v>
      </c>
      <c r="D47" s="550">
        <v>87</v>
      </c>
      <c r="E47" s="550">
        <v>21</v>
      </c>
      <c r="F47" s="455"/>
      <c r="G47" s="455"/>
      <c r="H47" s="437">
        <f t="shared" si="15"/>
        <v>108</v>
      </c>
      <c r="I47" s="437">
        <f t="shared" si="16"/>
        <v>64</v>
      </c>
      <c r="J47" s="550">
        <v>12</v>
      </c>
      <c r="K47" s="455"/>
      <c r="L47" s="550">
        <v>49</v>
      </c>
      <c r="M47" s="550">
        <v>1</v>
      </c>
      <c r="N47" s="550">
        <v>2</v>
      </c>
      <c r="O47" s="455"/>
      <c r="P47" s="455"/>
      <c r="Q47" s="550">
        <v>44</v>
      </c>
      <c r="R47" s="443">
        <f t="shared" si="18"/>
        <v>96</v>
      </c>
      <c r="S47" s="444">
        <f t="shared" si="1"/>
        <v>18.75</v>
      </c>
      <c r="T47" s="497">
        <f t="shared" si="3"/>
        <v>0</v>
      </c>
    </row>
    <row r="48" spans="1:20" ht="18" customHeight="1">
      <c r="A48" s="393" t="s">
        <v>120</v>
      </c>
      <c r="B48" s="457" t="s">
        <v>488</v>
      </c>
      <c r="C48" s="437">
        <f t="shared" si="14"/>
        <v>142</v>
      </c>
      <c r="D48" s="550">
        <v>110</v>
      </c>
      <c r="E48" s="550">
        <v>32</v>
      </c>
      <c r="F48" s="455"/>
      <c r="G48" s="455"/>
      <c r="H48" s="437">
        <f t="shared" si="15"/>
        <v>142</v>
      </c>
      <c r="I48" s="437">
        <f t="shared" si="16"/>
        <v>71</v>
      </c>
      <c r="J48" s="551">
        <v>17</v>
      </c>
      <c r="K48" s="550">
        <v>1</v>
      </c>
      <c r="L48" s="551">
        <v>53</v>
      </c>
      <c r="M48" s="455"/>
      <c r="N48" s="455"/>
      <c r="O48" s="455"/>
      <c r="P48" s="455"/>
      <c r="Q48" s="550">
        <v>71</v>
      </c>
      <c r="R48" s="443">
        <f t="shared" si="18"/>
        <v>124</v>
      </c>
      <c r="S48" s="444">
        <f t="shared" si="1"/>
        <v>25.352112676056336</v>
      </c>
      <c r="T48" s="497">
        <f t="shared" si="3"/>
        <v>0</v>
      </c>
    </row>
    <row r="49" spans="1:20" ht="18" customHeight="1">
      <c r="A49" s="393" t="s">
        <v>487</v>
      </c>
      <c r="B49" s="456" t="s">
        <v>486</v>
      </c>
      <c r="C49" s="437">
        <f t="shared" si="14"/>
        <v>170</v>
      </c>
      <c r="D49" s="550">
        <v>133</v>
      </c>
      <c r="E49" s="550">
        <v>37</v>
      </c>
      <c r="F49" s="455"/>
      <c r="G49" s="455"/>
      <c r="H49" s="437">
        <f t="shared" si="15"/>
        <v>170</v>
      </c>
      <c r="I49" s="437">
        <f t="shared" si="16"/>
        <v>147</v>
      </c>
      <c r="J49" s="550">
        <v>25</v>
      </c>
      <c r="K49" s="550">
        <v>2</v>
      </c>
      <c r="L49" s="550">
        <v>115</v>
      </c>
      <c r="M49" s="550">
        <v>5</v>
      </c>
      <c r="N49" s="455"/>
      <c r="O49" s="455"/>
      <c r="P49" s="455"/>
      <c r="Q49" s="550">
        <v>23</v>
      </c>
      <c r="R49" s="443">
        <f t="shared" si="18"/>
        <v>143</v>
      </c>
      <c r="S49" s="444">
        <f t="shared" si="1"/>
        <v>18.367346938775512</v>
      </c>
      <c r="T49" s="497">
        <f t="shared" si="3"/>
        <v>0</v>
      </c>
    </row>
    <row r="50" spans="1:20" ht="18" customHeight="1">
      <c r="A50" s="439" t="s">
        <v>60</v>
      </c>
      <c r="B50" s="440" t="s">
        <v>485</v>
      </c>
      <c r="C50" s="437">
        <f t="shared" si="14"/>
        <v>1114</v>
      </c>
      <c r="D50" s="437">
        <f>SUM(D51:D55)</f>
        <v>840</v>
      </c>
      <c r="E50" s="437">
        <f>SUM(E51:E55)</f>
        <v>274</v>
      </c>
      <c r="F50" s="437">
        <f>SUM(F51:F55)</f>
        <v>0</v>
      </c>
      <c r="G50" s="437">
        <f>SUM(G51:G55)</f>
        <v>0</v>
      </c>
      <c r="H50" s="437">
        <f t="shared" si="15"/>
        <v>1114</v>
      </c>
      <c r="I50" s="437">
        <f t="shared" si="16"/>
        <v>659</v>
      </c>
      <c r="J50" s="437">
        <f aca="true" t="shared" si="20" ref="J50:Q50">SUM(J51:J55)</f>
        <v>166</v>
      </c>
      <c r="K50" s="437">
        <f t="shared" si="20"/>
        <v>8</v>
      </c>
      <c r="L50" s="437">
        <f t="shared" si="20"/>
        <v>485</v>
      </c>
      <c r="M50" s="437">
        <f t="shared" si="20"/>
        <v>0</v>
      </c>
      <c r="N50" s="437">
        <f t="shared" si="20"/>
        <v>0</v>
      </c>
      <c r="O50" s="437">
        <f t="shared" si="20"/>
        <v>0</v>
      </c>
      <c r="P50" s="437">
        <f t="shared" si="20"/>
        <v>0</v>
      </c>
      <c r="Q50" s="437">
        <f t="shared" si="20"/>
        <v>455</v>
      </c>
      <c r="R50" s="443">
        <f t="shared" si="18"/>
        <v>940</v>
      </c>
      <c r="S50" s="438">
        <f t="shared" si="1"/>
        <v>26.403641881638844</v>
      </c>
      <c r="T50" s="497">
        <f t="shared" si="3"/>
        <v>0</v>
      </c>
    </row>
    <row r="51" spans="1:20" ht="18" customHeight="1">
      <c r="A51" s="393" t="s">
        <v>484</v>
      </c>
      <c r="B51" s="441" t="s">
        <v>483</v>
      </c>
      <c r="C51" s="437">
        <f t="shared" si="14"/>
        <v>42</v>
      </c>
      <c r="D51" s="445">
        <v>31</v>
      </c>
      <c r="E51" s="445">
        <v>11</v>
      </c>
      <c r="F51" s="445"/>
      <c r="G51" s="442"/>
      <c r="H51" s="437">
        <f t="shared" si="15"/>
        <v>42</v>
      </c>
      <c r="I51" s="437">
        <f t="shared" si="16"/>
        <v>23</v>
      </c>
      <c r="J51" s="445">
        <v>10</v>
      </c>
      <c r="K51" s="445">
        <v>1</v>
      </c>
      <c r="L51" s="445">
        <v>12</v>
      </c>
      <c r="M51" s="445"/>
      <c r="N51" s="445"/>
      <c r="O51" s="445"/>
      <c r="P51" s="446"/>
      <c r="Q51" s="526">
        <v>19</v>
      </c>
      <c r="R51" s="443">
        <f t="shared" si="18"/>
        <v>31</v>
      </c>
      <c r="S51" s="444">
        <f t="shared" si="1"/>
        <v>47.82608695652174</v>
      </c>
      <c r="T51" s="497">
        <f t="shared" si="3"/>
        <v>0</v>
      </c>
    </row>
    <row r="52" spans="1:20" ht="18" customHeight="1">
      <c r="A52" s="393" t="s">
        <v>482</v>
      </c>
      <c r="B52" s="441" t="s">
        <v>481</v>
      </c>
      <c r="C52" s="437">
        <f t="shared" si="14"/>
        <v>418</v>
      </c>
      <c r="D52" s="445">
        <v>321</v>
      </c>
      <c r="E52" s="445">
        <v>97</v>
      </c>
      <c r="F52" s="445"/>
      <c r="G52" s="442"/>
      <c r="H52" s="437">
        <f t="shared" si="15"/>
        <v>418</v>
      </c>
      <c r="I52" s="437">
        <f t="shared" si="16"/>
        <v>214</v>
      </c>
      <c r="J52" s="445">
        <v>52</v>
      </c>
      <c r="K52" s="445">
        <v>4</v>
      </c>
      <c r="L52" s="445">
        <v>158</v>
      </c>
      <c r="M52" s="445"/>
      <c r="N52" s="445"/>
      <c r="O52" s="445"/>
      <c r="P52" s="446"/>
      <c r="Q52" s="526">
        <v>204</v>
      </c>
      <c r="R52" s="443">
        <f t="shared" si="18"/>
        <v>362</v>
      </c>
      <c r="S52" s="444">
        <f t="shared" si="1"/>
        <v>26.168224299065418</v>
      </c>
      <c r="T52" s="497">
        <f t="shared" si="3"/>
        <v>0</v>
      </c>
    </row>
    <row r="53" spans="1:20" ht="18" customHeight="1">
      <c r="A53" s="393" t="s">
        <v>480</v>
      </c>
      <c r="B53" s="441" t="s">
        <v>479</v>
      </c>
      <c r="C53" s="437">
        <f t="shared" si="14"/>
        <v>339</v>
      </c>
      <c r="D53" s="445">
        <v>253</v>
      </c>
      <c r="E53" s="445">
        <v>86</v>
      </c>
      <c r="F53" s="445"/>
      <c r="G53" s="442"/>
      <c r="H53" s="437">
        <f t="shared" si="15"/>
        <v>339</v>
      </c>
      <c r="I53" s="437">
        <f t="shared" si="16"/>
        <v>259</v>
      </c>
      <c r="J53" s="445">
        <v>60</v>
      </c>
      <c r="K53" s="445">
        <v>2</v>
      </c>
      <c r="L53" s="445">
        <v>197</v>
      </c>
      <c r="M53" s="445"/>
      <c r="N53" s="445"/>
      <c r="O53" s="445"/>
      <c r="P53" s="446"/>
      <c r="Q53" s="526">
        <v>80</v>
      </c>
      <c r="R53" s="443">
        <f t="shared" si="18"/>
        <v>277</v>
      </c>
      <c r="S53" s="444">
        <f t="shared" si="1"/>
        <v>23.93822393822394</v>
      </c>
      <c r="T53" s="497">
        <f t="shared" si="3"/>
        <v>0</v>
      </c>
    </row>
    <row r="54" spans="1:20" ht="18" customHeight="1">
      <c r="A54" s="393" t="s">
        <v>478</v>
      </c>
      <c r="B54" s="441" t="s">
        <v>477</v>
      </c>
      <c r="C54" s="437">
        <f t="shared" si="14"/>
        <v>187</v>
      </c>
      <c r="D54" s="445">
        <v>131</v>
      </c>
      <c r="E54" s="445">
        <v>56</v>
      </c>
      <c r="F54" s="445"/>
      <c r="G54" s="442"/>
      <c r="H54" s="437">
        <f t="shared" si="15"/>
        <v>187</v>
      </c>
      <c r="I54" s="437">
        <f t="shared" si="16"/>
        <v>106</v>
      </c>
      <c r="J54" s="445">
        <v>34</v>
      </c>
      <c r="K54" s="445">
        <v>1</v>
      </c>
      <c r="L54" s="445">
        <v>71</v>
      </c>
      <c r="M54" s="445"/>
      <c r="N54" s="445"/>
      <c r="O54" s="445"/>
      <c r="P54" s="446"/>
      <c r="Q54" s="526">
        <v>81</v>
      </c>
      <c r="R54" s="443">
        <f t="shared" si="18"/>
        <v>152</v>
      </c>
      <c r="S54" s="444">
        <f t="shared" si="1"/>
        <v>33.0188679245283</v>
      </c>
      <c r="T54" s="497">
        <f t="shared" si="3"/>
        <v>0</v>
      </c>
    </row>
    <row r="55" spans="1:20" ht="18" customHeight="1">
      <c r="A55" s="393" t="s">
        <v>476</v>
      </c>
      <c r="B55" s="441" t="s">
        <v>558</v>
      </c>
      <c r="C55" s="437">
        <f t="shared" si="14"/>
        <v>128</v>
      </c>
      <c r="D55" s="445">
        <v>104</v>
      </c>
      <c r="E55" s="445">
        <v>24</v>
      </c>
      <c r="F55" s="445"/>
      <c r="G55" s="442"/>
      <c r="H55" s="437">
        <f t="shared" si="15"/>
        <v>128</v>
      </c>
      <c r="I55" s="437">
        <f t="shared" si="16"/>
        <v>57</v>
      </c>
      <c r="J55" s="445">
        <v>10</v>
      </c>
      <c r="K55" s="445">
        <v>0</v>
      </c>
      <c r="L55" s="445">
        <v>47</v>
      </c>
      <c r="M55" s="445"/>
      <c r="N55" s="445"/>
      <c r="O55" s="445"/>
      <c r="P55" s="446"/>
      <c r="Q55" s="526">
        <v>71</v>
      </c>
      <c r="R55" s="443">
        <f t="shared" si="18"/>
        <v>118</v>
      </c>
      <c r="S55" s="444">
        <f t="shared" si="1"/>
        <v>17.543859649122805</v>
      </c>
      <c r="T55" s="497">
        <f t="shared" si="3"/>
        <v>0</v>
      </c>
    </row>
    <row r="56" spans="1:20" ht="18" customHeight="1">
      <c r="A56" s="439" t="s">
        <v>61</v>
      </c>
      <c r="B56" s="440" t="s">
        <v>475</v>
      </c>
      <c r="C56" s="437">
        <f t="shared" si="14"/>
        <v>1059</v>
      </c>
      <c r="D56" s="437">
        <f>SUM(D57:D61)</f>
        <v>796</v>
      </c>
      <c r="E56" s="437">
        <f>SUM(E57:E61)</f>
        <v>263</v>
      </c>
      <c r="F56" s="437">
        <f>SUM(F57:F61)</f>
        <v>4</v>
      </c>
      <c r="G56" s="437">
        <f>SUM(G57:G61)</f>
        <v>0</v>
      </c>
      <c r="H56" s="437">
        <f t="shared" si="15"/>
        <v>1055</v>
      </c>
      <c r="I56" s="437">
        <f t="shared" si="16"/>
        <v>667</v>
      </c>
      <c r="J56" s="437">
        <f aca="true" t="shared" si="21" ref="J56:Q56">SUM(J57:J61)</f>
        <v>115</v>
      </c>
      <c r="K56" s="437">
        <f t="shared" si="21"/>
        <v>4</v>
      </c>
      <c r="L56" s="437">
        <f t="shared" si="21"/>
        <v>448</v>
      </c>
      <c r="M56" s="437">
        <f t="shared" si="21"/>
        <v>28</v>
      </c>
      <c r="N56" s="437">
        <f t="shared" si="21"/>
        <v>0</v>
      </c>
      <c r="O56" s="437">
        <f t="shared" si="21"/>
        <v>0</v>
      </c>
      <c r="P56" s="437">
        <f t="shared" si="21"/>
        <v>72</v>
      </c>
      <c r="Q56" s="437">
        <f t="shared" si="21"/>
        <v>388</v>
      </c>
      <c r="R56" s="443">
        <f t="shared" si="18"/>
        <v>936</v>
      </c>
      <c r="S56" s="438">
        <f t="shared" si="1"/>
        <v>17.841079460269864</v>
      </c>
      <c r="T56" s="497">
        <f t="shared" si="3"/>
        <v>0</v>
      </c>
    </row>
    <row r="57" spans="1:20" ht="18" customHeight="1">
      <c r="A57" s="393" t="s">
        <v>474</v>
      </c>
      <c r="B57" s="441" t="s">
        <v>473</v>
      </c>
      <c r="C57" s="437">
        <f t="shared" si="14"/>
        <v>113</v>
      </c>
      <c r="D57" s="531">
        <v>59</v>
      </c>
      <c r="E57" s="531">
        <v>54</v>
      </c>
      <c r="F57" s="531"/>
      <c r="G57" s="442"/>
      <c r="H57" s="437">
        <f t="shared" si="15"/>
        <v>113</v>
      </c>
      <c r="I57" s="437">
        <f t="shared" si="16"/>
        <v>92</v>
      </c>
      <c r="J57" s="531">
        <v>36</v>
      </c>
      <c r="K57" s="531">
        <v>1</v>
      </c>
      <c r="L57" s="531">
        <v>55</v>
      </c>
      <c r="M57" s="445"/>
      <c r="N57" s="445"/>
      <c r="O57" s="445"/>
      <c r="P57" s="445"/>
      <c r="Q57" s="531">
        <v>21</v>
      </c>
      <c r="R57" s="443">
        <f t="shared" si="18"/>
        <v>76</v>
      </c>
      <c r="S57" s="444">
        <f t="shared" si="1"/>
        <v>40.21739130434783</v>
      </c>
      <c r="T57" s="497">
        <f t="shared" si="3"/>
        <v>0</v>
      </c>
    </row>
    <row r="58" spans="1:20" ht="18" customHeight="1">
      <c r="A58" s="393" t="s">
        <v>472</v>
      </c>
      <c r="B58" s="441" t="s">
        <v>471</v>
      </c>
      <c r="C58" s="437">
        <f t="shared" si="14"/>
        <v>345</v>
      </c>
      <c r="D58" s="531">
        <v>328</v>
      </c>
      <c r="E58" s="531">
        <v>17</v>
      </c>
      <c r="F58" s="531">
        <v>1</v>
      </c>
      <c r="G58" s="442"/>
      <c r="H58" s="437">
        <f t="shared" si="15"/>
        <v>344</v>
      </c>
      <c r="I58" s="437">
        <f t="shared" si="16"/>
        <v>130</v>
      </c>
      <c r="J58" s="531">
        <v>4</v>
      </c>
      <c r="K58" s="531">
        <v>2</v>
      </c>
      <c r="L58" s="531">
        <v>124</v>
      </c>
      <c r="M58" s="445"/>
      <c r="N58" s="445"/>
      <c r="O58" s="445"/>
      <c r="P58" s="445"/>
      <c r="Q58" s="531">
        <v>214</v>
      </c>
      <c r="R58" s="443">
        <f t="shared" si="18"/>
        <v>338</v>
      </c>
      <c r="S58" s="444">
        <f t="shared" si="1"/>
        <v>4.615384615384616</v>
      </c>
      <c r="T58" s="497">
        <f t="shared" si="3"/>
        <v>0</v>
      </c>
    </row>
    <row r="59" spans="1:20" ht="18" customHeight="1">
      <c r="A59" s="393" t="s">
        <v>470</v>
      </c>
      <c r="B59" s="441" t="s">
        <v>469</v>
      </c>
      <c r="C59" s="437">
        <f t="shared" si="14"/>
        <v>78</v>
      </c>
      <c r="D59" s="531">
        <v>59</v>
      </c>
      <c r="E59" s="531">
        <v>19</v>
      </c>
      <c r="F59" s="531"/>
      <c r="G59" s="442"/>
      <c r="H59" s="437">
        <f t="shared" si="15"/>
        <v>78</v>
      </c>
      <c r="I59" s="437">
        <f t="shared" si="16"/>
        <v>56</v>
      </c>
      <c r="J59" s="531">
        <v>8</v>
      </c>
      <c r="K59" s="531">
        <v>0</v>
      </c>
      <c r="L59" s="531">
        <v>22</v>
      </c>
      <c r="M59" s="531">
        <v>26</v>
      </c>
      <c r="N59" s="445"/>
      <c r="O59" s="445"/>
      <c r="P59" s="445"/>
      <c r="Q59" s="531">
        <v>22</v>
      </c>
      <c r="R59" s="443">
        <f t="shared" si="18"/>
        <v>70</v>
      </c>
      <c r="S59" s="444">
        <f t="shared" si="1"/>
        <v>14.285714285714285</v>
      </c>
      <c r="T59" s="497">
        <f t="shared" si="3"/>
        <v>0</v>
      </c>
    </row>
    <row r="60" spans="1:20" ht="18" customHeight="1">
      <c r="A60" s="393" t="s">
        <v>468</v>
      </c>
      <c r="B60" s="441" t="s">
        <v>467</v>
      </c>
      <c r="C60" s="437">
        <f t="shared" si="14"/>
        <v>353</v>
      </c>
      <c r="D60" s="531">
        <v>223</v>
      </c>
      <c r="E60" s="531">
        <v>130</v>
      </c>
      <c r="F60" s="531">
        <v>3</v>
      </c>
      <c r="G60" s="442"/>
      <c r="H60" s="437">
        <f t="shared" si="15"/>
        <v>350</v>
      </c>
      <c r="I60" s="437">
        <f t="shared" si="16"/>
        <v>259</v>
      </c>
      <c r="J60" s="531">
        <v>46</v>
      </c>
      <c r="K60" s="531">
        <v>0</v>
      </c>
      <c r="L60" s="531">
        <v>161</v>
      </c>
      <c r="M60" s="531">
        <v>2</v>
      </c>
      <c r="N60" s="445"/>
      <c r="O60" s="445"/>
      <c r="P60" s="531">
        <v>50</v>
      </c>
      <c r="Q60" s="531">
        <v>91</v>
      </c>
      <c r="R60" s="443">
        <f t="shared" si="18"/>
        <v>304</v>
      </c>
      <c r="S60" s="444">
        <f t="shared" si="1"/>
        <v>17.760617760617762</v>
      </c>
      <c r="T60" s="497">
        <f t="shared" si="3"/>
        <v>0</v>
      </c>
    </row>
    <row r="61" spans="1:20" ht="18" customHeight="1">
      <c r="A61" s="393" t="s">
        <v>466</v>
      </c>
      <c r="B61" s="441" t="s">
        <v>465</v>
      </c>
      <c r="C61" s="437">
        <f t="shared" si="14"/>
        <v>170</v>
      </c>
      <c r="D61" s="531">
        <v>127</v>
      </c>
      <c r="E61" s="531">
        <v>43</v>
      </c>
      <c r="F61" s="531"/>
      <c r="G61" s="442"/>
      <c r="H61" s="437">
        <f t="shared" si="15"/>
        <v>170</v>
      </c>
      <c r="I61" s="437">
        <f t="shared" si="16"/>
        <v>130</v>
      </c>
      <c r="J61" s="531">
        <v>21</v>
      </c>
      <c r="K61" s="531">
        <v>1</v>
      </c>
      <c r="L61" s="531">
        <v>86</v>
      </c>
      <c r="M61" s="445"/>
      <c r="N61" s="445"/>
      <c r="O61" s="445"/>
      <c r="P61" s="531">
        <v>22</v>
      </c>
      <c r="Q61" s="531">
        <v>40</v>
      </c>
      <c r="R61" s="443">
        <f t="shared" si="18"/>
        <v>148</v>
      </c>
      <c r="S61" s="444">
        <f t="shared" si="1"/>
        <v>16.923076923076923</v>
      </c>
      <c r="T61" s="497">
        <f t="shared" si="3"/>
        <v>0</v>
      </c>
    </row>
    <row r="62" spans="1:20" ht="18" customHeight="1">
      <c r="A62" s="439" t="s">
        <v>62</v>
      </c>
      <c r="B62" s="440" t="s">
        <v>464</v>
      </c>
      <c r="C62" s="437">
        <f t="shared" si="14"/>
        <v>1432</v>
      </c>
      <c r="D62" s="437">
        <f>SUM(D63:D67)</f>
        <v>1256</v>
      </c>
      <c r="E62" s="437">
        <f>SUM(E63:E67)</f>
        <v>176</v>
      </c>
      <c r="F62" s="437">
        <f>SUM(F63:F67)</f>
        <v>0</v>
      </c>
      <c r="G62" s="437">
        <f>SUM(G63:G67)</f>
        <v>0</v>
      </c>
      <c r="H62" s="437">
        <f t="shared" si="15"/>
        <v>1432</v>
      </c>
      <c r="I62" s="437">
        <f t="shared" si="16"/>
        <v>996</v>
      </c>
      <c r="J62" s="437">
        <f aca="true" t="shared" si="22" ref="J62:Q62">SUM(J63:J67)</f>
        <v>120</v>
      </c>
      <c r="K62" s="437">
        <f t="shared" si="22"/>
        <v>13</v>
      </c>
      <c r="L62" s="437">
        <f t="shared" si="22"/>
        <v>858</v>
      </c>
      <c r="M62" s="437">
        <f t="shared" si="22"/>
        <v>4</v>
      </c>
      <c r="N62" s="437">
        <f t="shared" si="22"/>
        <v>1</v>
      </c>
      <c r="O62" s="437">
        <f t="shared" si="22"/>
        <v>0</v>
      </c>
      <c r="P62" s="437">
        <f t="shared" si="22"/>
        <v>0</v>
      </c>
      <c r="Q62" s="437">
        <f t="shared" si="22"/>
        <v>436</v>
      </c>
      <c r="R62" s="443">
        <f t="shared" si="18"/>
        <v>1299</v>
      </c>
      <c r="S62" s="438">
        <f t="shared" si="1"/>
        <v>13.353413654618473</v>
      </c>
      <c r="T62" s="497">
        <f t="shared" si="3"/>
        <v>0</v>
      </c>
    </row>
    <row r="63" spans="1:20" ht="18" customHeight="1">
      <c r="A63" s="393" t="s">
        <v>463</v>
      </c>
      <c r="B63" s="459" t="s">
        <v>462</v>
      </c>
      <c r="C63" s="437">
        <f t="shared" si="14"/>
        <v>699</v>
      </c>
      <c r="D63" s="518">
        <f>158+483</f>
        <v>641</v>
      </c>
      <c r="E63" s="555">
        <f>44+14</f>
        <v>58</v>
      </c>
      <c r="F63" s="458"/>
      <c r="G63" s="458">
        <v>0</v>
      </c>
      <c r="H63" s="437">
        <f t="shared" si="15"/>
        <v>699</v>
      </c>
      <c r="I63" s="437">
        <f t="shared" si="16"/>
        <v>488</v>
      </c>
      <c r="J63" s="518">
        <f>41+5</f>
        <v>46</v>
      </c>
      <c r="K63" s="518">
        <v>1</v>
      </c>
      <c r="L63" s="518">
        <f>148+293</f>
        <v>441</v>
      </c>
      <c r="M63" s="531"/>
      <c r="N63" s="531"/>
      <c r="O63" s="531"/>
      <c r="P63" s="531"/>
      <c r="Q63" s="518">
        <f>13+198</f>
        <v>211</v>
      </c>
      <c r="R63" s="443">
        <f t="shared" si="18"/>
        <v>652</v>
      </c>
      <c r="S63" s="444">
        <f t="shared" si="1"/>
        <v>9.631147540983607</v>
      </c>
      <c r="T63" s="497">
        <f t="shared" si="3"/>
        <v>0</v>
      </c>
    </row>
    <row r="64" spans="1:20" ht="18" customHeight="1">
      <c r="A64" s="393" t="s">
        <v>461</v>
      </c>
      <c r="B64" s="459" t="s">
        <v>460</v>
      </c>
      <c r="C64" s="437">
        <f t="shared" si="14"/>
        <v>238</v>
      </c>
      <c r="D64" s="518">
        <f>69+129</f>
        <v>198</v>
      </c>
      <c r="E64" s="555">
        <f>26+14</f>
        <v>40</v>
      </c>
      <c r="F64" s="518"/>
      <c r="G64" s="458">
        <v>0</v>
      </c>
      <c r="H64" s="437">
        <f t="shared" si="15"/>
        <v>238</v>
      </c>
      <c r="I64" s="437">
        <f t="shared" si="16"/>
        <v>175</v>
      </c>
      <c r="J64" s="518">
        <f>8+2</f>
        <v>10</v>
      </c>
      <c r="K64" s="531"/>
      <c r="L64" s="518">
        <f>50+115</f>
        <v>165</v>
      </c>
      <c r="M64" s="531"/>
      <c r="N64" s="531"/>
      <c r="O64" s="531"/>
      <c r="P64" s="531"/>
      <c r="Q64" s="518">
        <f>37+26</f>
        <v>63</v>
      </c>
      <c r="R64" s="443">
        <f t="shared" si="18"/>
        <v>228</v>
      </c>
      <c r="S64" s="444">
        <f t="shared" si="1"/>
        <v>5.714285714285714</v>
      </c>
      <c r="T64" s="497">
        <f t="shared" si="3"/>
        <v>0</v>
      </c>
    </row>
    <row r="65" spans="1:20" ht="18" customHeight="1">
      <c r="A65" s="393" t="s">
        <v>459</v>
      </c>
      <c r="B65" s="459" t="s">
        <v>458</v>
      </c>
      <c r="C65" s="437">
        <f t="shared" si="14"/>
        <v>274</v>
      </c>
      <c r="D65" s="518">
        <f>201+49</f>
        <v>250</v>
      </c>
      <c r="E65" s="555">
        <f>20+4</f>
        <v>24</v>
      </c>
      <c r="F65" s="518"/>
      <c r="G65" s="458">
        <v>0</v>
      </c>
      <c r="H65" s="437">
        <f t="shared" si="15"/>
        <v>274</v>
      </c>
      <c r="I65" s="437">
        <f t="shared" si="16"/>
        <v>137</v>
      </c>
      <c r="J65" s="518">
        <f>14</f>
        <v>14</v>
      </c>
      <c r="K65" s="531"/>
      <c r="L65" s="518">
        <f>22+100</f>
        <v>122</v>
      </c>
      <c r="M65" s="531"/>
      <c r="N65" s="518">
        <v>1</v>
      </c>
      <c r="O65" s="531"/>
      <c r="P65" s="531"/>
      <c r="Q65" s="518">
        <f>33+104</f>
        <v>137</v>
      </c>
      <c r="R65" s="443">
        <f t="shared" si="18"/>
        <v>260</v>
      </c>
      <c r="S65" s="444">
        <f t="shared" si="1"/>
        <v>10.218978102189782</v>
      </c>
      <c r="T65" s="497">
        <f t="shared" si="3"/>
        <v>0</v>
      </c>
    </row>
    <row r="66" spans="1:20" ht="18" customHeight="1">
      <c r="A66" s="393" t="s">
        <v>457</v>
      </c>
      <c r="B66" s="459" t="s">
        <v>456</v>
      </c>
      <c r="C66" s="437">
        <f t="shared" si="14"/>
        <v>56</v>
      </c>
      <c r="D66" s="518">
        <v>39</v>
      </c>
      <c r="E66" s="555">
        <f>13+4</f>
        <v>17</v>
      </c>
      <c r="F66" s="518"/>
      <c r="G66" s="458">
        <v>0</v>
      </c>
      <c r="H66" s="437">
        <f t="shared" si="15"/>
        <v>56</v>
      </c>
      <c r="I66" s="437">
        <f t="shared" si="16"/>
        <v>46</v>
      </c>
      <c r="J66" s="518">
        <f>12</f>
        <v>12</v>
      </c>
      <c r="K66" s="518">
        <v>1</v>
      </c>
      <c r="L66" s="518">
        <f>10+23</f>
        <v>33</v>
      </c>
      <c r="M66" s="531"/>
      <c r="N66" s="531"/>
      <c r="O66" s="531"/>
      <c r="P66" s="531"/>
      <c r="Q66" s="518">
        <f>7+3</f>
        <v>10</v>
      </c>
      <c r="R66" s="443">
        <f t="shared" si="18"/>
        <v>43</v>
      </c>
      <c r="S66" s="444">
        <f t="shared" si="1"/>
        <v>28.26086956521739</v>
      </c>
      <c r="T66" s="497">
        <f t="shared" si="3"/>
        <v>0</v>
      </c>
    </row>
    <row r="67" spans="1:20" ht="18" customHeight="1">
      <c r="A67" s="393" t="s">
        <v>455</v>
      </c>
      <c r="B67" s="459" t="s">
        <v>454</v>
      </c>
      <c r="C67" s="437">
        <f t="shared" si="14"/>
        <v>165</v>
      </c>
      <c r="D67" s="518">
        <f>41+87</f>
        <v>128</v>
      </c>
      <c r="E67" s="555">
        <f>26+11</f>
        <v>37</v>
      </c>
      <c r="F67" s="518"/>
      <c r="G67" s="458">
        <v>0</v>
      </c>
      <c r="H67" s="437">
        <f t="shared" si="15"/>
        <v>165</v>
      </c>
      <c r="I67" s="437">
        <f t="shared" si="16"/>
        <v>150</v>
      </c>
      <c r="J67" s="518">
        <f>34+4</f>
        <v>38</v>
      </c>
      <c r="K67" s="518">
        <f>11</f>
        <v>11</v>
      </c>
      <c r="L67" s="518">
        <f>21+76</f>
        <v>97</v>
      </c>
      <c r="M67" s="518">
        <v>4</v>
      </c>
      <c r="N67" s="531"/>
      <c r="O67" s="531"/>
      <c r="P67" s="531"/>
      <c r="Q67" s="518">
        <f>8+7</f>
        <v>15</v>
      </c>
      <c r="R67" s="443">
        <f t="shared" si="18"/>
        <v>116</v>
      </c>
      <c r="S67" s="444">
        <f t="shared" si="1"/>
        <v>32.666666666666664</v>
      </c>
      <c r="T67" s="497">
        <f t="shared" si="3"/>
        <v>0</v>
      </c>
    </row>
    <row r="68" spans="1:20" ht="18" customHeight="1">
      <c r="A68" s="439" t="s">
        <v>63</v>
      </c>
      <c r="B68" s="440" t="s">
        <v>453</v>
      </c>
      <c r="C68" s="437">
        <f t="shared" si="14"/>
        <v>689</v>
      </c>
      <c r="D68" s="437">
        <f>SUM(D69:D72)</f>
        <v>447</v>
      </c>
      <c r="E68" s="437">
        <f>SUM(E69:E72)</f>
        <v>242</v>
      </c>
      <c r="F68" s="437">
        <f>SUM(F69:F72)</f>
        <v>0</v>
      </c>
      <c r="G68" s="437">
        <f>SUM(G69:G72)</f>
        <v>0</v>
      </c>
      <c r="H68" s="437">
        <f>I68+Q68</f>
        <v>689</v>
      </c>
      <c r="I68" s="437">
        <f aca="true" t="shared" si="23" ref="I68:Q68">SUM(I69:I72)</f>
        <v>544</v>
      </c>
      <c r="J68" s="437">
        <f t="shared" si="23"/>
        <v>188</v>
      </c>
      <c r="K68" s="437">
        <f t="shared" si="23"/>
        <v>0</v>
      </c>
      <c r="L68" s="437">
        <f t="shared" si="23"/>
        <v>349</v>
      </c>
      <c r="M68" s="437">
        <f t="shared" si="23"/>
        <v>3</v>
      </c>
      <c r="N68" s="437">
        <f t="shared" si="23"/>
        <v>0</v>
      </c>
      <c r="O68" s="437">
        <f t="shared" si="23"/>
        <v>0</v>
      </c>
      <c r="P68" s="437">
        <f t="shared" si="23"/>
        <v>4</v>
      </c>
      <c r="Q68" s="437">
        <f t="shared" si="23"/>
        <v>145</v>
      </c>
      <c r="R68" s="443">
        <f t="shared" si="18"/>
        <v>501</v>
      </c>
      <c r="S68" s="438">
        <f t="shared" si="1"/>
        <v>34.55882352941176</v>
      </c>
      <c r="T68" s="497">
        <f t="shared" si="3"/>
        <v>0</v>
      </c>
    </row>
    <row r="69" spans="1:20" ht="18" customHeight="1">
      <c r="A69" s="393" t="s">
        <v>452</v>
      </c>
      <c r="B69" s="516" t="s">
        <v>451</v>
      </c>
      <c r="C69" s="437">
        <f t="shared" si="14"/>
        <v>80</v>
      </c>
      <c r="D69" s="450">
        <v>58</v>
      </c>
      <c r="E69" s="450">
        <v>22</v>
      </c>
      <c r="F69" s="450"/>
      <c r="G69" s="442"/>
      <c r="H69" s="437">
        <f>I69+Q69</f>
        <v>80</v>
      </c>
      <c r="I69" s="437">
        <f>SUM(J69:P69)</f>
        <v>51</v>
      </c>
      <c r="J69" s="450">
        <v>13</v>
      </c>
      <c r="K69" s="450">
        <v>0</v>
      </c>
      <c r="L69" s="450">
        <v>36</v>
      </c>
      <c r="M69" s="450">
        <v>0</v>
      </c>
      <c r="N69" s="450"/>
      <c r="O69" s="450"/>
      <c r="P69" s="452">
        <v>2</v>
      </c>
      <c r="Q69" s="453">
        <v>29</v>
      </c>
      <c r="R69" s="443">
        <f t="shared" si="18"/>
        <v>67</v>
      </c>
      <c r="S69" s="444">
        <f t="shared" si="1"/>
        <v>25.49019607843137</v>
      </c>
      <c r="T69" s="497">
        <f t="shared" si="3"/>
        <v>0</v>
      </c>
    </row>
    <row r="70" spans="1:20" ht="18" customHeight="1">
      <c r="A70" s="393" t="s">
        <v>450</v>
      </c>
      <c r="B70" s="516" t="s">
        <v>449</v>
      </c>
      <c r="C70" s="437">
        <f t="shared" si="14"/>
        <v>130</v>
      </c>
      <c r="D70" s="450">
        <v>79</v>
      </c>
      <c r="E70" s="450">
        <v>51</v>
      </c>
      <c r="F70" s="450"/>
      <c r="G70" s="442"/>
      <c r="H70" s="437">
        <f>I70+Q70</f>
        <v>130</v>
      </c>
      <c r="I70" s="437">
        <f>SUM(J70:P70)</f>
        <v>100</v>
      </c>
      <c r="J70" s="450">
        <v>34</v>
      </c>
      <c r="K70" s="450">
        <v>0</v>
      </c>
      <c r="L70" s="450">
        <v>64</v>
      </c>
      <c r="M70" s="450">
        <v>2</v>
      </c>
      <c r="N70" s="450"/>
      <c r="O70" s="450"/>
      <c r="P70" s="452">
        <v>0</v>
      </c>
      <c r="Q70" s="453">
        <v>30</v>
      </c>
      <c r="R70" s="443">
        <f t="shared" si="18"/>
        <v>96</v>
      </c>
      <c r="S70" s="444">
        <f t="shared" si="1"/>
        <v>34</v>
      </c>
      <c r="T70" s="497">
        <f t="shared" si="3"/>
        <v>0</v>
      </c>
    </row>
    <row r="71" spans="1:20" ht="18" customHeight="1">
      <c r="A71" s="393" t="s">
        <v>448</v>
      </c>
      <c r="B71" s="516" t="s">
        <v>447</v>
      </c>
      <c r="C71" s="437">
        <f t="shared" si="14"/>
        <v>227</v>
      </c>
      <c r="D71" s="450">
        <v>139</v>
      </c>
      <c r="E71" s="450">
        <v>88</v>
      </c>
      <c r="F71" s="450"/>
      <c r="G71" s="442"/>
      <c r="H71" s="437">
        <f>I71+Q71</f>
        <v>227</v>
      </c>
      <c r="I71" s="437">
        <f>SUM(J71:P71)</f>
        <v>200</v>
      </c>
      <c r="J71" s="450">
        <v>71</v>
      </c>
      <c r="K71" s="450">
        <v>0</v>
      </c>
      <c r="L71" s="450">
        <v>128</v>
      </c>
      <c r="M71" s="450">
        <v>0</v>
      </c>
      <c r="N71" s="450"/>
      <c r="O71" s="450"/>
      <c r="P71" s="452">
        <v>1</v>
      </c>
      <c r="Q71" s="453">
        <v>27</v>
      </c>
      <c r="R71" s="443">
        <f t="shared" si="18"/>
        <v>156</v>
      </c>
      <c r="S71" s="444">
        <f t="shared" si="1"/>
        <v>35.5</v>
      </c>
      <c r="T71" s="497">
        <f t="shared" si="3"/>
        <v>0</v>
      </c>
    </row>
    <row r="72" spans="1:20" ht="18" customHeight="1">
      <c r="A72" s="393" t="s">
        <v>446</v>
      </c>
      <c r="B72" s="516" t="s">
        <v>445</v>
      </c>
      <c r="C72" s="437">
        <f t="shared" si="14"/>
        <v>252</v>
      </c>
      <c r="D72" s="450">
        <v>171</v>
      </c>
      <c r="E72" s="450">
        <v>81</v>
      </c>
      <c r="F72" s="450"/>
      <c r="G72" s="442"/>
      <c r="H72" s="437">
        <f>I72+Q72</f>
        <v>252</v>
      </c>
      <c r="I72" s="437">
        <f>SUM(J72:P72)</f>
        <v>193</v>
      </c>
      <c r="J72" s="450">
        <v>70</v>
      </c>
      <c r="K72" s="450">
        <v>0</v>
      </c>
      <c r="L72" s="450">
        <v>121</v>
      </c>
      <c r="M72" s="450">
        <v>1</v>
      </c>
      <c r="N72" s="450"/>
      <c r="O72" s="450"/>
      <c r="P72" s="452">
        <v>1</v>
      </c>
      <c r="Q72" s="453">
        <v>59</v>
      </c>
      <c r="R72" s="443">
        <f t="shared" si="18"/>
        <v>182</v>
      </c>
      <c r="S72" s="444">
        <f>(((J72+K72))/I72)*100</f>
        <v>36.26943005181347</v>
      </c>
      <c r="T72" s="497">
        <f t="shared" si="3"/>
        <v>0</v>
      </c>
    </row>
    <row r="73" spans="1:19" s="404" customFormat="1" ht="29.25" customHeight="1">
      <c r="A73" s="943"/>
      <c r="B73" s="943"/>
      <c r="C73" s="943"/>
      <c r="D73" s="943"/>
      <c r="E73" s="943"/>
      <c r="F73" s="390"/>
      <c r="G73" s="390"/>
      <c r="H73" s="390"/>
      <c r="I73" s="390"/>
      <c r="J73" s="390"/>
      <c r="K73" s="390"/>
      <c r="L73" s="390"/>
      <c r="M73" s="390"/>
      <c r="N73" s="957" t="str">
        <f>'Thong tin'!B8</f>
        <v>Trà Vinh, ngày 01 tháng 12 năm 2016</v>
      </c>
      <c r="O73" s="957"/>
      <c r="P73" s="957"/>
      <c r="Q73" s="957"/>
      <c r="R73" s="957"/>
      <c r="S73" s="957"/>
    </row>
    <row r="74" spans="1:19" s="401" customFormat="1" ht="19.5" customHeight="1">
      <c r="A74" s="403"/>
      <c r="B74" s="949" t="s">
        <v>4</v>
      </c>
      <c r="C74" s="949"/>
      <c r="D74" s="949"/>
      <c r="E74" s="949"/>
      <c r="F74" s="402"/>
      <c r="G74" s="402"/>
      <c r="H74" s="402"/>
      <c r="I74" s="402"/>
      <c r="J74" s="402"/>
      <c r="K74" s="402"/>
      <c r="L74" s="402"/>
      <c r="M74" s="402"/>
      <c r="N74" s="942" t="str">
        <f>'Thong tin'!B7</f>
        <v>PHÓ CỤC TRƯỞNG</v>
      </c>
      <c r="O74" s="942"/>
      <c r="P74" s="942"/>
      <c r="Q74" s="942"/>
      <c r="R74" s="942"/>
      <c r="S74" s="942"/>
    </row>
    <row r="75" spans="1:19" ht="18.75">
      <c r="A75" s="387"/>
      <c r="B75" s="948"/>
      <c r="C75" s="948"/>
      <c r="D75" s="948"/>
      <c r="E75" s="388"/>
      <c r="F75" s="388"/>
      <c r="G75" s="388"/>
      <c r="H75" s="388"/>
      <c r="I75" s="388"/>
      <c r="J75" s="388"/>
      <c r="K75" s="388"/>
      <c r="L75" s="388"/>
      <c r="M75" s="388"/>
      <c r="N75" s="947"/>
      <c r="O75" s="947"/>
      <c r="P75" s="947"/>
      <c r="Q75" s="947"/>
      <c r="R75" s="947"/>
      <c r="S75" s="947"/>
    </row>
    <row r="76" spans="1:19" ht="18.75">
      <c r="A76" s="387"/>
      <c r="B76" s="387"/>
      <c r="C76" s="387"/>
      <c r="D76" s="388"/>
      <c r="E76" s="388"/>
      <c r="F76" s="388"/>
      <c r="G76" s="388"/>
      <c r="H76" s="388"/>
      <c r="I76" s="388"/>
      <c r="J76" s="388"/>
      <c r="K76" s="388"/>
      <c r="L76" s="388"/>
      <c r="M76" s="388"/>
      <c r="N76" s="388"/>
      <c r="O76" s="388"/>
      <c r="P76" s="388"/>
      <c r="Q76" s="388"/>
      <c r="R76" s="387"/>
      <c r="S76" s="387"/>
    </row>
    <row r="77" spans="1:19" ht="18.75">
      <c r="A77" s="387"/>
      <c r="B77" s="947"/>
      <c r="C77" s="947"/>
      <c r="D77" s="947"/>
      <c r="E77" s="947"/>
      <c r="F77" s="388"/>
      <c r="G77" s="388"/>
      <c r="H77" s="388"/>
      <c r="I77" s="388"/>
      <c r="J77" s="388"/>
      <c r="K77" s="388"/>
      <c r="L77" s="388"/>
      <c r="M77" s="388"/>
      <c r="N77" s="388"/>
      <c r="O77" s="388"/>
      <c r="P77" s="947"/>
      <c r="Q77" s="947"/>
      <c r="R77" s="947"/>
      <c r="S77" s="387"/>
    </row>
    <row r="78" spans="1:19" ht="15.75" customHeight="1">
      <c r="A78" s="400"/>
      <c r="B78" s="387"/>
      <c r="C78" s="387"/>
      <c r="D78" s="388"/>
      <c r="E78" s="388"/>
      <c r="F78" s="388"/>
      <c r="G78" s="388"/>
      <c r="H78" s="388"/>
      <c r="I78" s="388"/>
      <c r="J78" s="388"/>
      <c r="K78" s="388"/>
      <c r="L78" s="388"/>
      <c r="M78" s="388"/>
      <c r="N78" s="388"/>
      <c r="O78" s="388"/>
      <c r="P78" s="388"/>
      <c r="Q78" s="388"/>
      <c r="R78" s="387"/>
      <c r="S78" s="387"/>
    </row>
    <row r="79" spans="1:19" ht="15.75" customHeight="1">
      <c r="A79" s="387"/>
      <c r="B79" s="388"/>
      <c r="C79" s="388"/>
      <c r="D79" s="388"/>
      <c r="E79" s="388"/>
      <c r="F79" s="388"/>
      <c r="G79" s="388"/>
      <c r="H79" s="388"/>
      <c r="I79" s="388"/>
      <c r="J79" s="388"/>
      <c r="K79" s="388"/>
      <c r="L79" s="388"/>
      <c r="M79" s="388"/>
      <c r="N79" s="388"/>
      <c r="O79" s="388"/>
      <c r="P79" s="388"/>
      <c r="Q79" s="388"/>
      <c r="R79" s="387"/>
      <c r="S79" s="387"/>
    </row>
    <row r="80" spans="1:19" ht="18.75">
      <c r="A80" s="389"/>
      <c r="B80" s="389"/>
      <c r="C80" s="389"/>
      <c r="D80" s="389"/>
      <c r="E80" s="389"/>
      <c r="F80" s="389"/>
      <c r="G80" s="389"/>
      <c r="H80" s="389"/>
      <c r="I80" s="389"/>
      <c r="J80" s="389"/>
      <c r="K80" s="389"/>
      <c r="L80" s="389"/>
      <c r="M80" s="389"/>
      <c r="N80" s="389"/>
      <c r="O80" s="389"/>
      <c r="P80" s="389"/>
      <c r="Q80" s="387"/>
      <c r="R80" s="387"/>
      <c r="S80" s="387"/>
    </row>
    <row r="81" spans="1:19" ht="18.75">
      <c r="A81" s="387"/>
      <c r="B81" s="387"/>
      <c r="C81" s="387"/>
      <c r="D81" s="387"/>
      <c r="E81" s="387"/>
      <c r="F81" s="387"/>
      <c r="G81" s="387"/>
      <c r="H81" s="387"/>
      <c r="I81" s="387"/>
      <c r="J81" s="387"/>
      <c r="K81" s="387"/>
      <c r="L81" s="387"/>
      <c r="M81" s="387"/>
      <c r="N81" s="387"/>
      <c r="O81" s="387"/>
      <c r="P81" s="387"/>
      <c r="Q81" s="387"/>
      <c r="R81" s="387"/>
      <c r="S81" s="387"/>
    </row>
    <row r="82" spans="1:19" ht="18.75">
      <c r="A82" s="387"/>
      <c r="B82" s="939" t="str">
        <f>'Thong tin'!B5</f>
        <v>Nhan Quốc Hải</v>
      </c>
      <c r="C82" s="939"/>
      <c r="D82" s="939"/>
      <c r="E82" s="939"/>
      <c r="F82" s="387"/>
      <c r="G82" s="387"/>
      <c r="H82" s="387"/>
      <c r="I82" s="387"/>
      <c r="J82" s="387"/>
      <c r="K82" s="387"/>
      <c r="L82" s="387"/>
      <c r="M82" s="387"/>
      <c r="N82" s="939" t="str">
        <f>'Thong tin'!B6</f>
        <v>Trần Việt Hồng</v>
      </c>
      <c r="O82" s="939"/>
      <c r="P82" s="939"/>
      <c r="Q82" s="939"/>
      <c r="R82" s="939"/>
      <c r="S82" s="939"/>
    </row>
    <row r="83" spans="1:19" ht="18.75">
      <c r="A83" s="399"/>
      <c r="B83" s="399"/>
      <c r="C83" s="399"/>
      <c r="D83" s="399"/>
      <c r="E83" s="399"/>
      <c r="F83" s="399"/>
      <c r="G83" s="399"/>
      <c r="H83" s="399"/>
      <c r="I83" s="399"/>
      <c r="J83" s="399"/>
      <c r="K83" s="399"/>
      <c r="L83" s="399"/>
      <c r="M83" s="399"/>
      <c r="N83" s="399"/>
      <c r="O83" s="399"/>
      <c r="P83" s="399"/>
      <c r="Q83" s="399"/>
      <c r="R83" s="399"/>
      <c r="S83" s="399"/>
    </row>
  </sheetData>
  <sheetProtection/>
  <mergeCells count="35">
    <mergeCell ref="A2:D2"/>
    <mergeCell ref="P2:S2"/>
    <mergeCell ref="A3:D3"/>
    <mergeCell ref="B77:E77"/>
    <mergeCell ref="P77:R77"/>
    <mergeCell ref="N73:S73"/>
    <mergeCell ref="P4:S4"/>
    <mergeCell ref="Q7:Q9"/>
    <mergeCell ref="E1:O1"/>
    <mergeCell ref="E2:O2"/>
    <mergeCell ref="E3:O3"/>
    <mergeCell ref="F6:F9"/>
    <mergeCell ref="G6:G9"/>
    <mergeCell ref="S6:S9"/>
    <mergeCell ref="I7:P7"/>
    <mergeCell ref="N82:S82"/>
    <mergeCell ref="D7:E7"/>
    <mergeCell ref="D8:D9"/>
    <mergeCell ref="E8:E9"/>
    <mergeCell ref="J8:P8"/>
    <mergeCell ref="N75:S75"/>
    <mergeCell ref="B75:D75"/>
    <mergeCell ref="B74:E74"/>
    <mergeCell ref="A11:B11"/>
    <mergeCell ref="R6:R9"/>
    <mergeCell ref="B82:E82"/>
    <mergeCell ref="A10:B10"/>
    <mergeCell ref="C7:C9"/>
    <mergeCell ref="N74:S74"/>
    <mergeCell ref="A73:E73"/>
    <mergeCell ref="A6:B9"/>
    <mergeCell ref="H7:H9"/>
    <mergeCell ref="I8:I9"/>
    <mergeCell ref="H6:Q6"/>
    <mergeCell ref="C6:E6"/>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J82"/>
  <sheetViews>
    <sheetView showZeros="0" view="pageBreakPreview" zoomScale="90" zoomScaleNormal="85" zoomScaleSheetLayoutView="90" zoomScalePageLayoutView="0" workbookViewId="0" topLeftCell="J61">
      <selection activeCell="H80" sqref="H80"/>
    </sheetView>
  </sheetViews>
  <sheetFormatPr defaultColWidth="9.00390625" defaultRowHeight="15.75"/>
  <cols>
    <col min="1" max="1" width="3.50390625" style="378" customWidth="1"/>
    <col min="2" max="2" width="12.875" style="378" customWidth="1"/>
    <col min="3" max="3" width="11.00390625" style="378" customWidth="1"/>
    <col min="4" max="4" width="10.25390625" style="378" customWidth="1"/>
    <col min="5" max="5" width="9.50390625" style="378" customWidth="1"/>
    <col min="6" max="6" width="8.375" style="378" customWidth="1"/>
    <col min="7" max="7" width="7.75390625" style="378" customWidth="1"/>
    <col min="8" max="8" width="9.375" style="378" customWidth="1"/>
    <col min="9" max="9" width="10.25390625" style="378" customWidth="1"/>
    <col min="10" max="10" width="8.625" style="378" customWidth="1"/>
    <col min="11" max="11" width="7.375" style="378" customWidth="1"/>
    <col min="12" max="12" width="5.875" style="378" customWidth="1"/>
    <col min="13" max="13" width="10.00390625" style="378" customWidth="1"/>
    <col min="14" max="14" width="7.50390625" style="378" customWidth="1"/>
    <col min="15" max="15" width="7.00390625" style="378" customWidth="1"/>
    <col min="16" max="16" width="6.375" style="378" customWidth="1"/>
    <col min="17" max="17" width="8.625" style="378" customWidth="1"/>
    <col min="18" max="18" width="7.875" style="378" customWidth="1"/>
    <col min="19" max="19" width="10.875" style="378" customWidth="1"/>
    <col min="20" max="20" width="6.75390625" style="378" customWidth="1"/>
    <col min="21" max="21" width="11.00390625" style="378" customWidth="1"/>
    <col min="22" max="16384" width="9.00390625" style="378" customWidth="1"/>
  </cols>
  <sheetData>
    <row r="1" spans="1:20" ht="20.25" customHeight="1">
      <c r="A1" s="432" t="s">
        <v>28</v>
      </c>
      <c r="B1" s="432"/>
      <c r="C1" s="432"/>
      <c r="E1" s="952" t="s">
        <v>545</v>
      </c>
      <c r="F1" s="952"/>
      <c r="G1" s="952"/>
      <c r="H1" s="952"/>
      <c r="I1" s="952"/>
      <c r="J1" s="952"/>
      <c r="K1" s="952"/>
      <c r="L1" s="952"/>
      <c r="M1" s="952"/>
      <c r="N1" s="952"/>
      <c r="O1" s="952"/>
      <c r="P1" s="952"/>
      <c r="Q1" s="434" t="s">
        <v>426</v>
      </c>
      <c r="R1" s="430"/>
      <c r="S1" s="430"/>
      <c r="T1" s="430"/>
    </row>
    <row r="2" spans="1:20" ht="17.25" customHeight="1">
      <c r="A2" s="962" t="s">
        <v>242</v>
      </c>
      <c r="B2" s="962"/>
      <c r="C2" s="962"/>
      <c r="D2" s="962"/>
      <c r="E2" s="953" t="s">
        <v>34</v>
      </c>
      <c r="F2" s="953"/>
      <c r="G2" s="953"/>
      <c r="H2" s="953"/>
      <c r="I2" s="953"/>
      <c r="J2" s="953"/>
      <c r="K2" s="953"/>
      <c r="L2" s="953"/>
      <c r="M2" s="953"/>
      <c r="N2" s="953"/>
      <c r="O2" s="953"/>
      <c r="P2" s="953"/>
      <c r="Q2" s="963" t="str">
        <f>'Thong tin'!B4</f>
        <v>CTHADS TRÀ VINH</v>
      </c>
      <c r="R2" s="963"/>
      <c r="S2" s="963"/>
      <c r="T2" s="963"/>
    </row>
    <row r="3" spans="1:20" ht="18" customHeight="1">
      <c r="A3" s="962" t="s">
        <v>243</v>
      </c>
      <c r="B3" s="962"/>
      <c r="C3" s="962"/>
      <c r="D3" s="962"/>
      <c r="E3" s="954" t="str">
        <f>'Thong tin'!B3</f>
        <v>02  tháng / năm 2017</v>
      </c>
      <c r="F3" s="954"/>
      <c r="G3" s="954"/>
      <c r="H3" s="954"/>
      <c r="I3" s="954"/>
      <c r="J3" s="954"/>
      <c r="K3" s="954"/>
      <c r="L3" s="954"/>
      <c r="M3" s="954"/>
      <c r="N3" s="954"/>
      <c r="O3" s="954"/>
      <c r="P3" s="954"/>
      <c r="Q3" s="434" t="s">
        <v>360</v>
      </c>
      <c r="R3" s="433"/>
      <c r="S3" s="430"/>
      <c r="T3" s="430"/>
    </row>
    <row r="4" spans="1:20" ht="14.25" customHeight="1">
      <c r="A4" s="382" t="s">
        <v>122</v>
      </c>
      <c r="B4" s="432"/>
      <c r="C4" s="432"/>
      <c r="D4" s="432"/>
      <c r="E4" s="432"/>
      <c r="F4" s="432"/>
      <c r="G4" s="432"/>
      <c r="H4" s="432"/>
      <c r="I4" s="432"/>
      <c r="J4" s="432"/>
      <c r="K4" s="432"/>
      <c r="L4" s="432"/>
      <c r="M4" s="432"/>
      <c r="N4" s="432"/>
      <c r="O4" s="431"/>
      <c r="P4" s="431"/>
      <c r="Q4" s="964" t="s">
        <v>302</v>
      </c>
      <c r="R4" s="964"/>
      <c r="S4" s="964"/>
      <c r="T4" s="964"/>
    </row>
    <row r="5" spans="2:20" ht="21.75" customHeight="1">
      <c r="B5" s="21"/>
      <c r="C5" s="21"/>
      <c r="Q5" s="961" t="s">
        <v>427</v>
      </c>
      <c r="R5" s="961"/>
      <c r="S5" s="961"/>
      <c r="T5" s="961"/>
    </row>
    <row r="6" spans="1:36" ht="18.75" customHeight="1">
      <c r="A6" s="944" t="s">
        <v>57</v>
      </c>
      <c r="B6" s="944"/>
      <c r="C6" s="941" t="s">
        <v>123</v>
      </c>
      <c r="D6" s="941"/>
      <c r="E6" s="941"/>
      <c r="F6" s="945" t="s">
        <v>101</v>
      </c>
      <c r="G6" s="945" t="s">
        <v>124</v>
      </c>
      <c r="H6" s="946" t="s">
        <v>102</v>
      </c>
      <c r="I6" s="946"/>
      <c r="J6" s="946"/>
      <c r="K6" s="946"/>
      <c r="L6" s="946"/>
      <c r="M6" s="946"/>
      <c r="N6" s="946"/>
      <c r="O6" s="946"/>
      <c r="P6" s="946"/>
      <c r="Q6" s="946"/>
      <c r="R6" s="946"/>
      <c r="S6" s="941" t="s">
        <v>247</v>
      </c>
      <c r="T6" s="941" t="s">
        <v>530</v>
      </c>
      <c r="U6" s="381"/>
      <c r="V6" s="381"/>
      <c r="W6" s="381"/>
      <c r="X6" s="381"/>
      <c r="Y6" s="381"/>
      <c r="Z6" s="381"/>
      <c r="AA6" s="381"/>
      <c r="AB6" s="381"/>
      <c r="AC6" s="381"/>
      <c r="AD6" s="381"/>
      <c r="AE6" s="381"/>
      <c r="AF6" s="381"/>
      <c r="AG6" s="381"/>
      <c r="AH6" s="381"/>
      <c r="AI6" s="381"/>
      <c r="AJ6" s="381"/>
    </row>
    <row r="7" spans="1:36" s="429" customFormat="1" ht="21" customHeight="1">
      <c r="A7" s="944"/>
      <c r="B7" s="944"/>
      <c r="C7" s="941" t="s">
        <v>42</v>
      </c>
      <c r="D7" s="941" t="s">
        <v>7</v>
      </c>
      <c r="E7" s="941"/>
      <c r="F7" s="945"/>
      <c r="G7" s="945"/>
      <c r="H7" s="945" t="s">
        <v>102</v>
      </c>
      <c r="I7" s="941" t="s">
        <v>103</v>
      </c>
      <c r="J7" s="941"/>
      <c r="K7" s="941"/>
      <c r="L7" s="941"/>
      <c r="M7" s="941"/>
      <c r="N7" s="941"/>
      <c r="O7" s="941"/>
      <c r="P7" s="941"/>
      <c r="Q7" s="941"/>
      <c r="R7" s="945" t="s">
        <v>125</v>
      </c>
      <c r="S7" s="941"/>
      <c r="T7" s="941"/>
      <c r="U7" s="430"/>
      <c r="V7" s="430"/>
      <c r="W7" s="430"/>
      <c r="X7" s="430"/>
      <c r="Y7" s="430"/>
      <c r="Z7" s="430"/>
      <c r="AA7" s="430"/>
      <c r="AB7" s="430"/>
      <c r="AC7" s="430"/>
      <c r="AD7" s="430"/>
      <c r="AE7" s="430"/>
      <c r="AF7" s="430"/>
      <c r="AG7" s="430"/>
      <c r="AH7" s="430"/>
      <c r="AI7" s="430"/>
      <c r="AJ7" s="430"/>
    </row>
    <row r="8" spans="1:36" ht="21.75" customHeight="1">
      <c r="A8" s="944"/>
      <c r="B8" s="944"/>
      <c r="C8" s="941"/>
      <c r="D8" s="941" t="s">
        <v>126</v>
      </c>
      <c r="E8" s="941" t="s">
        <v>127</v>
      </c>
      <c r="F8" s="945"/>
      <c r="G8" s="945"/>
      <c r="H8" s="945"/>
      <c r="I8" s="945" t="s">
        <v>529</v>
      </c>
      <c r="J8" s="941" t="s">
        <v>7</v>
      </c>
      <c r="K8" s="941"/>
      <c r="L8" s="941"/>
      <c r="M8" s="941"/>
      <c r="N8" s="941"/>
      <c r="O8" s="941"/>
      <c r="P8" s="941"/>
      <c r="Q8" s="941"/>
      <c r="R8" s="945"/>
      <c r="S8" s="941"/>
      <c r="T8" s="941"/>
      <c r="U8" s="381"/>
      <c r="V8" s="381"/>
      <c r="W8" s="381"/>
      <c r="X8" s="381"/>
      <c r="Y8" s="381"/>
      <c r="Z8" s="381"/>
      <c r="AA8" s="381"/>
      <c r="AB8" s="381"/>
      <c r="AC8" s="381"/>
      <c r="AD8" s="381"/>
      <c r="AE8" s="381"/>
      <c r="AF8" s="381"/>
      <c r="AG8" s="381"/>
      <c r="AH8" s="381"/>
      <c r="AI8" s="381"/>
      <c r="AJ8" s="381"/>
    </row>
    <row r="9" spans="1:36" ht="84" customHeight="1">
      <c r="A9" s="944"/>
      <c r="B9" s="944"/>
      <c r="C9" s="941"/>
      <c r="D9" s="941"/>
      <c r="E9" s="941"/>
      <c r="F9" s="945"/>
      <c r="G9" s="945"/>
      <c r="H9" s="945"/>
      <c r="I9" s="945"/>
      <c r="J9" s="407" t="s">
        <v>128</v>
      </c>
      <c r="K9" s="407" t="s">
        <v>129</v>
      </c>
      <c r="L9" s="407" t="s">
        <v>121</v>
      </c>
      <c r="M9" s="406" t="s">
        <v>105</v>
      </c>
      <c r="N9" s="406" t="s">
        <v>130</v>
      </c>
      <c r="O9" s="406" t="s">
        <v>108</v>
      </c>
      <c r="P9" s="406" t="s">
        <v>248</v>
      </c>
      <c r="Q9" s="406" t="s">
        <v>110</v>
      </c>
      <c r="R9" s="945"/>
      <c r="S9" s="941"/>
      <c r="T9" s="941"/>
      <c r="U9" s="381"/>
      <c r="V9" s="381"/>
      <c r="W9" s="381"/>
      <c r="X9" s="381"/>
      <c r="Y9" s="381"/>
      <c r="Z9" s="381"/>
      <c r="AA9" s="381"/>
      <c r="AB9" s="381"/>
      <c r="AC9" s="381"/>
      <c r="AD9" s="381"/>
      <c r="AE9" s="381"/>
      <c r="AF9" s="381"/>
      <c r="AG9" s="381"/>
      <c r="AH9" s="381"/>
      <c r="AI9" s="381"/>
      <c r="AJ9" s="381"/>
    </row>
    <row r="10" spans="1:20" ht="17.25" customHeight="1">
      <c r="A10" s="959" t="s">
        <v>6</v>
      </c>
      <c r="B10" s="960"/>
      <c r="C10" s="428">
        <v>1</v>
      </c>
      <c r="D10" s="428">
        <v>2</v>
      </c>
      <c r="E10" s="428">
        <v>3</v>
      </c>
      <c r="F10" s="428">
        <v>4</v>
      </c>
      <c r="G10" s="428">
        <v>5</v>
      </c>
      <c r="H10" s="428">
        <v>6</v>
      </c>
      <c r="I10" s="428">
        <v>7</v>
      </c>
      <c r="J10" s="428">
        <v>8</v>
      </c>
      <c r="K10" s="428">
        <v>9</v>
      </c>
      <c r="L10" s="428" t="s">
        <v>83</v>
      </c>
      <c r="M10" s="428" t="s">
        <v>84</v>
      </c>
      <c r="N10" s="428" t="s">
        <v>85</v>
      </c>
      <c r="O10" s="428" t="s">
        <v>86</v>
      </c>
      <c r="P10" s="428" t="s">
        <v>87</v>
      </c>
      <c r="Q10" s="428" t="s">
        <v>250</v>
      </c>
      <c r="R10" s="428" t="s">
        <v>536</v>
      </c>
      <c r="S10" s="428" t="s">
        <v>535</v>
      </c>
      <c r="T10" s="427" t="s">
        <v>534</v>
      </c>
    </row>
    <row r="11" spans="1:23" ht="19.5" customHeight="1">
      <c r="A11" s="969" t="s">
        <v>30</v>
      </c>
      <c r="B11" s="970"/>
      <c r="C11" s="460">
        <f aca="true" t="shared" si="0" ref="C11:S11">+C12+C22</f>
        <v>588905075</v>
      </c>
      <c r="D11" s="460">
        <f t="shared" si="0"/>
        <v>515628355</v>
      </c>
      <c r="E11" s="460">
        <f t="shared" si="0"/>
        <v>73276720</v>
      </c>
      <c r="F11" s="460">
        <f t="shared" si="0"/>
        <v>1660567</v>
      </c>
      <c r="G11" s="460">
        <f t="shared" si="0"/>
        <v>9018442</v>
      </c>
      <c r="H11" s="460">
        <f t="shared" si="0"/>
        <v>587244508</v>
      </c>
      <c r="I11" s="460">
        <f t="shared" si="0"/>
        <v>404665904</v>
      </c>
      <c r="J11" s="460">
        <f t="shared" si="0"/>
        <v>14442017</v>
      </c>
      <c r="K11" s="460">
        <f t="shared" si="0"/>
        <v>2482257</v>
      </c>
      <c r="L11" s="460">
        <f t="shared" si="0"/>
        <v>4401</v>
      </c>
      <c r="M11" s="460">
        <f t="shared" si="0"/>
        <v>362368652</v>
      </c>
      <c r="N11" s="460">
        <f t="shared" si="0"/>
        <v>12093333</v>
      </c>
      <c r="O11" s="460">
        <f t="shared" si="0"/>
        <v>202728</v>
      </c>
      <c r="P11" s="460">
        <f t="shared" si="0"/>
        <v>0</v>
      </c>
      <c r="Q11" s="460">
        <f t="shared" si="0"/>
        <v>13072516</v>
      </c>
      <c r="R11" s="460">
        <f t="shared" si="0"/>
        <v>182578604</v>
      </c>
      <c r="S11" s="460">
        <f t="shared" si="0"/>
        <v>570315833</v>
      </c>
      <c r="T11" s="461">
        <f aca="true" t="shared" si="1" ref="T11:T71">(((J11+K11+L11))/I11)*100</f>
        <v>4.18337073439229</v>
      </c>
      <c r="U11" s="436">
        <f>+C11-(F11+G11+H11)</f>
        <v>-9018442</v>
      </c>
      <c r="V11" s="558" t="s">
        <v>567</v>
      </c>
      <c r="W11" s="559"/>
    </row>
    <row r="12" spans="1:23" ht="19.5" customHeight="1">
      <c r="A12" s="462" t="s">
        <v>0</v>
      </c>
      <c r="B12" s="463" t="s">
        <v>528</v>
      </c>
      <c r="C12" s="460">
        <f>+C13+C14+C15+C16+C17+C18+C19+C20+C21</f>
        <v>111290816</v>
      </c>
      <c r="D12" s="460">
        <f aca="true" t="shared" si="2" ref="D12:S12">+D13+D14+D15+D16+D17+D18+D19+D20+D21</f>
        <v>82312806</v>
      </c>
      <c r="E12" s="460">
        <f t="shared" si="2"/>
        <v>28978010</v>
      </c>
      <c r="F12" s="460">
        <f t="shared" si="2"/>
        <v>0</v>
      </c>
      <c r="G12" s="460">
        <f t="shared" si="2"/>
        <v>9018442</v>
      </c>
      <c r="H12" s="460">
        <f t="shared" si="2"/>
        <v>111290816</v>
      </c>
      <c r="I12" s="460">
        <f t="shared" si="2"/>
        <v>91691835</v>
      </c>
      <c r="J12" s="460">
        <f t="shared" si="2"/>
        <v>1830561</v>
      </c>
      <c r="K12" s="460">
        <f t="shared" si="2"/>
        <v>99850</v>
      </c>
      <c r="L12" s="460">
        <f t="shared" si="2"/>
        <v>0</v>
      </c>
      <c r="M12" s="460">
        <f t="shared" si="2"/>
        <v>80335385</v>
      </c>
      <c r="N12" s="460">
        <f t="shared" si="2"/>
        <v>4794414</v>
      </c>
      <c r="O12" s="460">
        <f t="shared" si="2"/>
        <v>23750</v>
      </c>
      <c r="P12" s="460">
        <f t="shared" si="2"/>
        <v>0</v>
      </c>
      <c r="Q12" s="460">
        <f t="shared" si="2"/>
        <v>4607875</v>
      </c>
      <c r="R12" s="460">
        <f t="shared" si="2"/>
        <v>19598981</v>
      </c>
      <c r="S12" s="460">
        <f t="shared" si="2"/>
        <v>109360405</v>
      </c>
      <c r="T12" s="461">
        <f t="shared" si="1"/>
        <v>2.105324863440676</v>
      </c>
      <c r="U12" s="436">
        <f aca="true" t="shared" si="3" ref="U12:U72">+C12-(F12+G12+H12)</f>
        <v>-9018442</v>
      </c>
      <c r="V12" s="558" t="s">
        <v>567</v>
      </c>
      <c r="W12" s="559"/>
    </row>
    <row r="13" spans="1:23" ht="19.5" customHeight="1">
      <c r="A13" s="419" t="s">
        <v>43</v>
      </c>
      <c r="B13" s="418" t="s">
        <v>432</v>
      </c>
      <c r="C13" s="460">
        <f aca="true" t="shared" si="4" ref="C13:C72">+D13+E13</f>
        <v>0</v>
      </c>
      <c r="D13" s="464">
        <v>0</v>
      </c>
      <c r="E13" s="464"/>
      <c r="F13" s="464"/>
      <c r="G13" s="464"/>
      <c r="H13" s="460">
        <f aca="true" t="shared" si="5" ref="H13:H35">SUM(I13,R13)</f>
        <v>0</v>
      </c>
      <c r="I13" s="460">
        <f aca="true" t="shared" si="6" ref="I13:I35">SUM(J13:Q13)</f>
        <v>0</v>
      </c>
      <c r="J13" s="464"/>
      <c r="K13" s="464"/>
      <c r="L13" s="464"/>
      <c r="M13" s="464"/>
      <c r="N13" s="464"/>
      <c r="O13" s="464"/>
      <c r="P13" s="464"/>
      <c r="Q13" s="464"/>
      <c r="R13" s="464"/>
      <c r="S13" s="465">
        <f aca="true" t="shared" si="7" ref="S13:S21">SUM(M13:R13)</f>
        <v>0</v>
      </c>
      <c r="T13" s="466" t="e">
        <f t="shared" si="1"/>
        <v>#DIV/0!</v>
      </c>
      <c r="U13" s="436">
        <f t="shared" si="3"/>
        <v>0</v>
      </c>
      <c r="V13" s="559"/>
      <c r="W13" s="559"/>
    </row>
    <row r="14" spans="1:23" ht="19.5" customHeight="1">
      <c r="A14" s="419" t="s">
        <v>44</v>
      </c>
      <c r="B14" s="418" t="s">
        <v>525</v>
      </c>
      <c r="C14" s="460">
        <f t="shared" si="4"/>
        <v>0</v>
      </c>
      <c r="D14" s="464">
        <v>0</v>
      </c>
      <c r="E14" s="464"/>
      <c r="F14" s="464"/>
      <c r="G14" s="464"/>
      <c r="H14" s="460">
        <f t="shared" si="5"/>
        <v>0</v>
      </c>
      <c r="I14" s="460">
        <f t="shared" si="6"/>
        <v>0</v>
      </c>
      <c r="J14" s="464"/>
      <c r="K14" s="464"/>
      <c r="L14" s="464"/>
      <c r="M14" s="464"/>
      <c r="N14" s="464"/>
      <c r="O14" s="464"/>
      <c r="P14" s="464"/>
      <c r="Q14" s="464"/>
      <c r="R14" s="464"/>
      <c r="S14" s="465">
        <f t="shared" si="7"/>
        <v>0</v>
      </c>
      <c r="T14" s="466" t="e">
        <f t="shared" si="1"/>
        <v>#DIV/0!</v>
      </c>
      <c r="U14" s="436">
        <f t="shared" si="3"/>
        <v>0</v>
      </c>
      <c r="V14" s="559"/>
      <c r="W14" s="559"/>
    </row>
    <row r="15" spans="1:23" ht="19.5" customHeight="1">
      <c r="A15" s="419" t="s">
        <v>49</v>
      </c>
      <c r="B15" s="418" t="s">
        <v>524</v>
      </c>
      <c r="C15" s="460">
        <f t="shared" si="4"/>
        <v>10451043</v>
      </c>
      <c r="D15" s="464">
        <v>3353312</v>
      </c>
      <c r="E15" s="464">
        <v>7097731</v>
      </c>
      <c r="F15" s="464"/>
      <c r="G15" s="464">
        <v>7097731</v>
      </c>
      <c r="H15" s="460">
        <f t="shared" si="5"/>
        <v>10451043</v>
      </c>
      <c r="I15" s="460">
        <f t="shared" si="6"/>
        <v>10142901</v>
      </c>
      <c r="J15" s="464">
        <v>36202</v>
      </c>
      <c r="K15" s="464"/>
      <c r="L15" s="464"/>
      <c r="M15" s="464">
        <v>10082949</v>
      </c>
      <c r="N15" s="464"/>
      <c r="O15" s="464">
        <v>23750</v>
      </c>
      <c r="P15" s="464"/>
      <c r="Q15" s="464">
        <v>0</v>
      </c>
      <c r="R15" s="464">
        <v>308142</v>
      </c>
      <c r="S15" s="465">
        <f t="shared" si="7"/>
        <v>10414841</v>
      </c>
      <c r="T15" s="466">
        <f t="shared" si="1"/>
        <v>0.35691958346039265</v>
      </c>
      <c r="U15" s="436">
        <f t="shared" si="3"/>
        <v>-7097731</v>
      </c>
      <c r="V15" s="558" t="s">
        <v>567</v>
      </c>
      <c r="W15" s="559"/>
    </row>
    <row r="16" spans="1:23" ht="19.5" customHeight="1">
      <c r="A16" s="419" t="s">
        <v>58</v>
      </c>
      <c r="B16" s="418" t="s">
        <v>523</v>
      </c>
      <c r="C16" s="460">
        <f t="shared" si="4"/>
        <v>55845658</v>
      </c>
      <c r="D16" s="464">
        <v>47580832</v>
      </c>
      <c r="E16" s="464">
        <v>8264826</v>
      </c>
      <c r="F16" s="464"/>
      <c r="G16" s="464"/>
      <c r="H16" s="460">
        <f t="shared" si="5"/>
        <v>55845658</v>
      </c>
      <c r="I16" s="460">
        <f t="shared" si="6"/>
        <v>38156962</v>
      </c>
      <c r="J16" s="464">
        <v>123923</v>
      </c>
      <c r="K16" s="464"/>
      <c r="L16" s="464"/>
      <c r="M16" s="464">
        <v>35988171</v>
      </c>
      <c r="N16" s="464">
        <v>2044868</v>
      </c>
      <c r="O16" s="464"/>
      <c r="P16" s="464"/>
      <c r="Q16" s="464"/>
      <c r="R16" s="464">
        <v>17688696</v>
      </c>
      <c r="S16" s="465">
        <f t="shared" si="7"/>
        <v>55721735</v>
      </c>
      <c r="T16" s="466">
        <f t="shared" si="1"/>
        <v>0.3247716629012551</v>
      </c>
      <c r="U16" s="436">
        <f t="shared" si="3"/>
        <v>0</v>
      </c>
      <c r="V16" s="559"/>
      <c r="W16" s="559"/>
    </row>
    <row r="17" spans="1:23" ht="19.5" customHeight="1">
      <c r="A17" s="419" t="s">
        <v>59</v>
      </c>
      <c r="B17" s="467" t="s">
        <v>522</v>
      </c>
      <c r="C17" s="460">
        <f t="shared" si="4"/>
        <v>9344975</v>
      </c>
      <c r="D17" s="464">
        <v>8464805</v>
      </c>
      <c r="E17" s="464">
        <v>880170</v>
      </c>
      <c r="F17" s="464"/>
      <c r="G17" s="464"/>
      <c r="H17" s="460">
        <f t="shared" si="5"/>
        <v>9344975</v>
      </c>
      <c r="I17" s="460">
        <f t="shared" si="6"/>
        <v>8965476</v>
      </c>
      <c r="J17" s="464">
        <v>1576546</v>
      </c>
      <c r="K17" s="464">
        <v>3750</v>
      </c>
      <c r="L17" s="464"/>
      <c r="M17" s="464">
        <v>7188440</v>
      </c>
      <c r="N17" s="464"/>
      <c r="O17" s="464"/>
      <c r="P17" s="464"/>
      <c r="Q17" s="464">
        <v>196740</v>
      </c>
      <c r="R17" s="464">
        <v>379499</v>
      </c>
      <c r="S17" s="465">
        <f t="shared" si="7"/>
        <v>7764679</v>
      </c>
      <c r="T17" s="466">
        <f t="shared" si="1"/>
        <v>17.62645954325236</v>
      </c>
      <c r="U17" s="436">
        <f t="shared" si="3"/>
        <v>0</v>
      </c>
      <c r="V17" s="559"/>
      <c r="W17" s="559"/>
    </row>
    <row r="18" spans="1:23" ht="19.5" customHeight="1">
      <c r="A18" s="419" t="s">
        <v>60</v>
      </c>
      <c r="B18" s="418" t="s">
        <v>521</v>
      </c>
      <c r="C18" s="460">
        <f t="shared" si="4"/>
        <v>13035731</v>
      </c>
      <c r="D18" s="464">
        <v>13035731</v>
      </c>
      <c r="E18" s="464"/>
      <c r="F18" s="464"/>
      <c r="G18" s="464"/>
      <c r="H18" s="460">
        <f t="shared" si="5"/>
        <v>13035731</v>
      </c>
      <c r="I18" s="460">
        <f t="shared" si="6"/>
        <v>12818221</v>
      </c>
      <c r="J18" s="464">
        <v>0</v>
      </c>
      <c r="K18" s="464">
        <v>0</v>
      </c>
      <c r="L18" s="464"/>
      <c r="M18" s="464">
        <v>12253415</v>
      </c>
      <c r="N18" s="464">
        <v>564806</v>
      </c>
      <c r="O18" s="464"/>
      <c r="P18" s="464"/>
      <c r="Q18" s="464"/>
      <c r="R18" s="464">
        <v>217510</v>
      </c>
      <c r="S18" s="465">
        <f t="shared" si="7"/>
        <v>13035731</v>
      </c>
      <c r="T18" s="466">
        <f t="shared" si="1"/>
        <v>0</v>
      </c>
      <c r="U18" s="436">
        <f t="shared" si="3"/>
        <v>0</v>
      </c>
      <c r="V18" s="559"/>
      <c r="W18" s="559"/>
    </row>
    <row r="19" spans="1:23" ht="19.5" customHeight="1">
      <c r="A19" s="419" t="s">
        <v>61</v>
      </c>
      <c r="B19" s="418" t="s">
        <v>520</v>
      </c>
      <c r="C19" s="460">
        <f t="shared" si="4"/>
        <v>3825484</v>
      </c>
      <c r="D19" s="464">
        <v>3376164</v>
      </c>
      <c r="E19" s="464">
        <v>449320</v>
      </c>
      <c r="F19" s="464"/>
      <c r="G19" s="464"/>
      <c r="H19" s="460">
        <f t="shared" si="5"/>
        <v>3825484</v>
      </c>
      <c r="I19" s="460">
        <f t="shared" si="6"/>
        <v>3540103</v>
      </c>
      <c r="J19" s="464">
        <v>67035</v>
      </c>
      <c r="K19" s="464">
        <v>96100</v>
      </c>
      <c r="L19" s="464"/>
      <c r="M19" s="464">
        <v>3082800</v>
      </c>
      <c r="N19" s="464"/>
      <c r="O19" s="464"/>
      <c r="P19" s="464"/>
      <c r="Q19" s="464">
        <v>294168</v>
      </c>
      <c r="R19" s="464">
        <v>285381</v>
      </c>
      <c r="S19" s="465">
        <f t="shared" si="7"/>
        <v>3662349</v>
      </c>
      <c r="T19" s="466">
        <f t="shared" si="1"/>
        <v>4.608199252959589</v>
      </c>
      <c r="U19" s="436">
        <f t="shared" si="3"/>
        <v>0</v>
      </c>
      <c r="V19" s="559"/>
      <c r="W19" s="559"/>
    </row>
    <row r="20" spans="1:23" ht="19.5" customHeight="1">
      <c r="A20" s="419" t="s">
        <v>62</v>
      </c>
      <c r="B20" s="418" t="s">
        <v>519</v>
      </c>
      <c r="C20" s="460">
        <f t="shared" si="4"/>
        <v>12172891</v>
      </c>
      <c r="D20" s="464">
        <v>1808235</v>
      </c>
      <c r="E20" s="464">
        <v>10364656</v>
      </c>
      <c r="F20" s="464"/>
      <c r="G20" s="464"/>
      <c r="H20" s="460">
        <f t="shared" si="5"/>
        <v>12172891</v>
      </c>
      <c r="I20" s="460">
        <f t="shared" si="6"/>
        <v>11917321</v>
      </c>
      <c r="J20" s="464">
        <v>26855</v>
      </c>
      <c r="K20" s="464"/>
      <c r="L20" s="464"/>
      <c r="M20" s="464">
        <v>10844419</v>
      </c>
      <c r="N20" s="464">
        <v>227371</v>
      </c>
      <c r="O20" s="464"/>
      <c r="P20" s="464"/>
      <c r="Q20" s="464">
        <v>818676</v>
      </c>
      <c r="R20" s="464">
        <v>255570</v>
      </c>
      <c r="S20" s="465">
        <f t="shared" si="7"/>
        <v>12146036</v>
      </c>
      <c r="T20" s="466">
        <f t="shared" si="1"/>
        <v>0.22534426990764114</v>
      </c>
      <c r="U20" s="436">
        <f t="shared" si="3"/>
        <v>0</v>
      </c>
      <c r="V20" s="559"/>
      <c r="W20" s="559"/>
    </row>
    <row r="21" spans="1:23" ht="19.5" customHeight="1">
      <c r="A21" s="419" t="s">
        <v>63</v>
      </c>
      <c r="B21" s="418" t="s">
        <v>518</v>
      </c>
      <c r="C21" s="460">
        <f t="shared" si="4"/>
        <v>6615034</v>
      </c>
      <c r="D21" s="464">
        <v>4693727</v>
      </c>
      <c r="E21" s="460">
        <v>1921307</v>
      </c>
      <c r="F21" s="464"/>
      <c r="G21" s="460">
        <v>1920711</v>
      </c>
      <c r="H21" s="460">
        <f t="shared" si="5"/>
        <v>6615034</v>
      </c>
      <c r="I21" s="460">
        <f t="shared" si="6"/>
        <v>6150851</v>
      </c>
      <c r="J21" s="464">
        <v>0</v>
      </c>
      <c r="K21" s="464">
        <v>0</v>
      </c>
      <c r="L21" s="464"/>
      <c r="M21" s="464">
        <v>895191</v>
      </c>
      <c r="N21" s="464">
        <v>1957369</v>
      </c>
      <c r="O21" s="464"/>
      <c r="P21" s="464"/>
      <c r="Q21" s="464">
        <v>3298291</v>
      </c>
      <c r="R21" s="464">
        <v>464183</v>
      </c>
      <c r="S21" s="465">
        <f t="shared" si="7"/>
        <v>6615034</v>
      </c>
      <c r="T21" s="466">
        <f t="shared" si="1"/>
        <v>0</v>
      </c>
      <c r="U21" s="436">
        <f t="shared" si="3"/>
        <v>-1920711</v>
      </c>
      <c r="V21" s="558" t="s">
        <v>567</v>
      </c>
      <c r="W21" s="559"/>
    </row>
    <row r="22" spans="1:23" ht="19.5" customHeight="1">
      <c r="A22" s="462" t="s">
        <v>1</v>
      </c>
      <c r="B22" s="463" t="s">
        <v>17</v>
      </c>
      <c r="C22" s="460">
        <f aca="true" t="shared" si="8" ref="C22:S22">SUM(C23,C30,C36,C41,C45,C50,C56,C62,C68)</f>
        <v>477614259</v>
      </c>
      <c r="D22" s="460">
        <f t="shared" si="8"/>
        <v>433315549</v>
      </c>
      <c r="E22" s="460">
        <f t="shared" si="8"/>
        <v>44298710</v>
      </c>
      <c r="F22" s="460">
        <f t="shared" si="8"/>
        <v>1660567</v>
      </c>
      <c r="G22" s="460">
        <f t="shared" si="8"/>
        <v>0</v>
      </c>
      <c r="H22" s="460">
        <f t="shared" si="8"/>
        <v>475953692</v>
      </c>
      <c r="I22" s="460">
        <f t="shared" si="8"/>
        <v>312974069</v>
      </c>
      <c r="J22" s="460">
        <f t="shared" si="8"/>
        <v>12611456</v>
      </c>
      <c r="K22" s="460">
        <f t="shared" si="8"/>
        <v>2382407</v>
      </c>
      <c r="L22" s="460">
        <f t="shared" si="8"/>
        <v>4401</v>
      </c>
      <c r="M22" s="460">
        <f t="shared" si="8"/>
        <v>282033267</v>
      </c>
      <c r="N22" s="460">
        <f t="shared" si="8"/>
        <v>7298919</v>
      </c>
      <c r="O22" s="460">
        <f t="shared" si="8"/>
        <v>178978</v>
      </c>
      <c r="P22" s="460">
        <f t="shared" si="8"/>
        <v>0</v>
      </c>
      <c r="Q22" s="460">
        <f t="shared" si="8"/>
        <v>8464641</v>
      </c>
      <c r="R22" s="460">
        <f t="shared" si="8"/>
        <v>162979623</v>
      </c>
      <c r="S22" s="460">
        <f t="shared" si="8"/>
        <v>460955428</v>
      </c>
      <c r="T22" s="466">
        <f t="shared" si="1"/>
        <v>4.792174651376628</v>
      </c>
      <c r="U22" s="436">
        <f t="shared" si="3"/>
        <v>0</v>
      </c>
      <c r="V22" s="559"/>
      <c r="W22" s="559"/>
    </row>
    <row r="23" spans="1:23" ht="19.5" customHeight="1">
      <c r="A23" s="462" t="s">
        <v>43</v>
      </c>
      <c r="B23" s="463" t="s">
        <v>517</v>
      </c>
      <c r="C23" s="460">
        <f t="shared" si="4"/>
        <v>129140397</v>
      </c>
      <c r="D23" s="460">
        <f>SUM(D24:D29)</f>
        <v>115081703</v>
      </c>
      <c r="E23" s="460">
        <f>SUM(E24:E29)</f>
        <v>14058694</v>
      </c>
      <c r="F23" s="460">
        <f>SUM(F24:F29)</f>
        <v>1446625</v>
      </c>
      <c r="G23" s="460">
        <f>SUM(G24:G29)</f>
        <v>0</v>
      </c>
      <c r="H23" s="460">
        <f t="shared" si="5"/>
        <v>127693772</v>
      </c>
      <c r="I23" s="460">
        <f t="shared" si="6"/>
        <v>100956263</v>
      </c>
      <c r="J23" s="460">
        <f>SUM(J24:J29)</f>
        <v>4266267</v>
      </c>
      <c r="K23" s="460">
        <f>SUM(K24:K29)</f>
        <v>228196</v>
      </c>
      <c r="L23" s="460"/>
      <c r="M23" s="460">
        <f aca="true" t="shared" si="9" ref="M23:R23">SUM(M24:M29)</f>
        <v>87290313</v>
      </c>
      <c r="N23" s="460">
        <f t="shared" si="9"/>
        <v>4669891</v>
      </c>
      <c r="O23" s="460">
        <f t="shared" si="9"/>
        <v>0</v>
      </c>
      <c r="P23" s="460">
        <f t="shared" si="9"/>
        <v>0</v>
      </c>
      <c r="Q23" s="460">
        <f t="shared" si="9"/>
        <v>4501596</v>
      </c>
      <c r="R23" s="460">
        <f t="shared" si="9"/>
        <v>26737509</v>
      </c>
      <c r="S23" s="465">
        <f aca="true" t="shared" si="10" ref="S23:S35">SUM(M23:R23)</f>
        <v>123199309</v>
      </c>
      <c r="T23" s="466">
        <f t="shared" si="1"/>
        <v>4.451891211543756</v>
      </c>
      <c r="U23" s="436">
        <f t="shared" si="3"/>
        <v>0</v>
      </c>
      <c r="V23" s="559"/>
      <c r="W23" s="559"/>
    </row>
    <row r="24" spans="1:23" ht="19.5" customHeight="1">
      <c r="A24" s="419" t="s">
        <v>45</v>
      </c>
      <c r="B24" s="418" t="s">
        <v>516</v>
      </c>
      <c r="C24" s="460">
        <f t="shared" si="4"/>
        <v>3485677</v>
      </c>
      <c r="D24" s="426">
        <v>2301603</v>
      </c>
      <c r="E24" s="560">
        <v>1184074</v>
      </c>
      <c r="F24" s="560"/>
      <c r="G24" s="464"/>
      <c r="H24" s="460">
        <f t="shared" si="5"/>
        <v>3485677</v>
      </c>
      <c r="I24" s="460">
        <f t="shared" si="6"/>
        <v>2289136</v>
      </c>
      <c r="J24" s="560">
        <v>137752</v>
      </c>
      <c r="K24" s="560"/>
      <c r="L24" s="560"/>
      <c r="M24" s="560">
        <v>2151384</v>
      </c>
      <c r="N24" s="560"/>
      <c r="O24" s="560"/>
      <c r="P24" s="562"/>
      <c r="Q24" s="563"/>
      <c r="R24" s="563">
        <v>1196541</v>
      </c>
      <c r="S24" s="465">
        <f t="shared" si="10"/>
        <v>3347925</v>
      </c>
      <c r="T24" s="466">
        <f t="shared" si="1"/>
        <v>6.017641590538963</v>
      </c>
      <c r="U24" s="436">
        <f t="shared" si="3"/>
        <v>0</v>
      </c>
      <c r="V24" s="559"/>
      <c r="W24" s="559"/>
    </row>
    <row r="25" spans="1:23" ht="19.5" customHeight="1">
      <c r="A25" s="419" t="s">
        <v>46</v>
      </c>
      <c r="B25" s="418" t="s">
        <v>515</v>
      </c>
      <c r="C25" s="460">
        <f t="shared" si="4"/>
        <v>43054861</v>
      </c>
      <c r="D25" s="426">
        <v>40862055</v>
      </c>
      <c r="E25" s="560">
        <v>2192806</v>
      </c>
      <c r="F25" s="560"/>
      <c r="G25" s="464"/>
      <c r="H25" s="460">
        <f t="shared" si="5"/>
        <v>43054861</v>
      </c>
      <c r="I25" s="460">
        <f t="shared" si="6"/>
        <v>32228879</v>
      </c>
      <c r="J25" s="560">
        <v>1524363</v>
      </c>
      <c r="K25" s="560">
        <v>30379</v>
      </c>
      <c r="L25" s="560"/>
      <c r="M25" s="560">
        <v>25735680</v>
      </c>
      <c r="N25" s="560">
        <v>977527</v>
      </c>
      <c r="O25" s="560"/>
      <c r="P25" s="562"/>
      <c r="Q25" s="563">
        <v>3960930</v>
      </c>
      <c r="R25" s="563">
        <v>10825982</v>
      </c>
      <c r="S25" s="465">
        <f t="shared" si="10"/>
        <v>41500119</v>
      </c>
      <c r="T25" s="466">
        <f t="shared" si="1"/>
        <v>4.824064777431445</v>
      </c>
      <c r="U25" s="436">
        <f t="shared" si="3"/>
        <v>0</v>
      </c>
      <c r="V25" s="559"/>
      <c r="W25" s="559"/>
    </row>
    <row r="26" spans="1:23" ht="19.5" customHeight="1">
      <c r="A26" s="419" t="s">
        <v>104</v>
      </c>
      <c r="B26" s="418" t="s">
        <v>514</v>
      </c>
      <c r="C26" s="460">
        <f t="shared" si="4"/>
        <v>28943979</v>
      </c>
      <c r="D26" s="426">
        <v>23845759</v>
      </c>
      <c r="E26" s="560">
        <v>5098220</v>
      </c>
      <c r="F26" s="560"/>
      <c r="G26" s="464"/>
      <c r="H26" s="460">
        <f t="shared" si="5"/>
        <v>28943979</v>
      </c>
      <c r="I26" s="460">
        <f t="shared" si="6"/>
        <v>25105068</v>
      </c>
      <c r="J26" s="560">
        <f>944427+2500</f>
        <v>946927</v>
      </c>
      <c r="K26" s="560"/>
      <c r="L26" s="560"/>
      <c r="M26" s="560">
        <f>23517551-2500-1</f>
        <v>23515050</v>
      </c>
      <c r="N26" s="560">
        <v>102625</v>
      </c>
      <c r="O26" s="560"/>
      <c r="P26" s="562"/>
      <c r="Q26" s="563">
        <v>540466</v>
      </c>
      <c r="R26" s="563">
        <v>3838911</v>
      </c>
      <c r="S26" s="465">
        <f t="shared" si="10"/>
        <v>27997052</v>
      </c>
      <c r="T26" s="466">
        <f t="shared" si="1"/>
        <v>3.771855945580391</v>
      </c>
      <c r="U26" s="436">
        <f t="shared" si="3"/>
        <v>0</v>
      </c>
      <c r="V26" s="559"/>
      <c r="W26" s="559"/>
    </row>
    <row r="27" spans="1:23" ht="19.5" customHeight="1">
      <c r="A27" s="419" t="s">
        <v>106</v>
      </c>
      <c r="B27" s="418" t="s">
        <v>513</v>
      </c>
      <c r="C27" s="460">
        <f t="shared" si="4"/>
        <v>22377660</v>
      </c>
      <c r="D27" s="426">
        <f>19597127-182431</f>
        <v>19414696</v>
      </c>
      <c r="E27" s="560">
        <f>2780533+182431</f>
        <v>2962964</v>
      </c>
      <c r="F27" s="560"/>
      <c r="G27" s="464"/>
      <c r="H27" s="460">
        <f t="shared" si="5"/>
        <v>22377660</v>
      </c>
      <c r="I27" s="460">
        <f t="shared" si="6"/>
        <v>17865965</v>
      </c>
      <c r="J27" s="560">
        <f>881739-1+1</f>
        <v>881739</v>
      </c>
      <c r="K27" s="560">
        <v>193900</v>
      </c>
      <c r="L27" s="560"/>
      <c r="M27" s="560">
        <f>13200585+3-1</f>
        <v>13200587</v>
      </c>
      <c r="N27" s="560">
        <v>3589739</v>
      </c>
      <c r="O27" s="560"/>
      <c r="P27" s="562"/>
      <c r="Q27" s="563"/>
      <c r="R27" s="563">
        <f>4511695-2+2</f>
        <v>4511695</v>
      </c>
      <c r="S27" s="465">
        <f t="shared" si="10"/>
        <v>21302021</v>
      </c>
      <c r="T27" s="466">
        <f t="shared" si="1"/>
        <v>6.02060398080932</v>
      </c>
      <c r="U27" s="436">
        <f t="shared" si="3"/>
        <v>0</v>
      </c>
      <c r="V27" s="559"/>
      <c r="W27" s="559"/>
    </row>
    <row r="28" spans="1:23" ht="19.5" customHeight="1">
      <c r="A28" s="419" t="s">
        <v>107</v>
      </c>
      <c r="B28" s="418" t="s">
        <v>512</v>
      </c>
      <c r="C28" s="460">
        <f t="shared" si="4"/>
        <v>20663186</v>
      </c>
      <c r="D28" s="468">
        <v>19162713</v>
      </c>
      <c r="E28" s="561">
        <v>1500473</v>
      </c>
      <c r="F28" s="561"/>
      <c r="G28" s="464"/>
      <c r="H28" s="460">
        <f t="shared" si="5"/>
        <v>20663186</v>
      </c>
      <c r="I28" s="460">
        <f t="shared" si="6"/>
        <v>15601087</v>
      </c>
      <c r="J28" s="561">
        <v>322133</v>
      </c>
      <c r="K28" s="561"/>
      <c r="L28" s="561"/>
      <c r="M28" s="561">
        <v>15278954</v>
      </c>
      <c r="N28" s="561"/>
      <c r="O28" s="561"/>
      <c r="P28" s="564"/>
      <c r="Q28" s="565"/>
      <c r="R28" s="563">
        <v>5062099</v>
      </c>
      <c r="S28" s="465">
        <f t="shared" si="10"/>
        <v>20341053</v>
      </c>
      <c r="T28" s="466">
        <f t="shared" si="1"/>
        <v>2.0648112532158818</v>
      </c>
      <c r="U28" s="436">
        <f t="shared" si="3"/>
        <v>0</v>
      </c>
      <c r="V28" s="559"/>
      <c r="W28" s="559"/>
    </row>
    <row r="29" spans="1:23" ht="19.5" customHeight="1">
      <c r="A29" s="419" t="s">
        <v>109</v>
      </c>
      <c r="B29" s="418" t="s">
        <v>511</v>
      </c>
      <c r="C29" s="460">
        <f t="shared" si="4"/>
        <v>10615034</v>
      </c>
      <c r="D29" s="426">
        <v>9494877</v>
      </c>
      <c r="E29" s="560">
        <v>1120157</v>
      </c>
      <c r="F29" s="560">
        <v>1446625</v>
      </c>
      <c r="G29" s="464"/>
      <c r="H29" s="460">
        <f t="shared" si="5"/>
        <v>9168409</v>
      </c>
      <c r="I29" s="460">
        <f t="shared" si="6"/>
        <v>7866128</v>
      </c>
      <c r="J29" s="560">
        <v>453353</v>
      </c>
      <c r="K29" s="560">
        <v>3917</v>
      </c>
      <c r="L29" s="560"/>
      <c r="M29" s="560">
        <v>7408658</v>
      </c>
      <c r="N29" s="560"/>
      <c r="O29" s="560"/>
      <c r="P29" s="562"/>
      <c r="Q29" s="563">
        <v>200</v>
      </c>
      <c r="R29" s="563">
        <v>1302281</v>
      </c>
      <c r="S29" s="465">
        <f t="shared" si="10"/>
        <v>8711139</v>
      </c>
      <c r="T29" s="466">
        <f t="shared" si="1"/>
        <v>5.813152290428023</v>
      </c>
      <c r="U29" s="436">
        <f t="shared" si="3"/>
        <v>0</v>
      </c>
      <c r="V29" s="559"/>
      <c r="W29" s="559"/>
    </row>
    <row r="30" spans="1:23" ht="19.5" customHeight="1">
      <c r="A30" s="462" t="s">
        <v>44</v>
      </c>
      <c r="B30" s="463" t="s">
        <v>510</v>
      </c>
      <c r="C30" s="460">
        <f t="shared" si="4"/>
        <v>51972868</v>
      </c>
      <c r="D30" s="460">
        <f>SUM(D31:D35)</f>
        <v>47005170</v>
      </c>
      <c r="E30" s="460">
        <f>SUM(E31:E35)</f>
        <v>4967698</v>
      </c>
      <c r="F30" s="460">
        <f>SUM(F31:F35)</f>
        <v>10601</v>
      </c>
      <c r="G30" s="460">
        <f>SUM(G31:G35)</f>
        <v>0</v>
      </c>
      <c r="H30" s="460">
        <f t="shared" si="5"/>
        <v>51962267</v>
      </c>
      <c r="I30" s="460">
        <f t="shared" si="6"/>
        <v>33492362</v>
      </c>
      <c r="J30" s="460">
        <f>SUM(J31:J35)</f>
        <v>1657309</v>
      </c>
      <c r="K30" s="460">
        <f>SUM(K31:K35)</f>
        <v>248479</v>
      </c>
      <c r="L30" s="460"/>
      <c r="M30" s="460">
        <f aca="true" t="shared" si="11" ref="M30:R30">SUM(M31:M35)</f>
        <v>28473243</v>
      </c>
      <c r="N30" s="460">
        <f t="shared" si="11"/>
        <v>786596</v>
      </c>
      <c r="O30" s="460">
        <f t="shared" si="11"/>
        <v>42847</v>
      </c>
      <c r="P30" s="460">
        <f t="shared" si="11"/>
        <v>0</v>
      </c>
      <c r="Q30" s="460">
        <f t="shared" si="11"/>
        <v>2283888</v>
      </c>
      <c r="R30" s="460">
        <f t="shared" si="11"/>
        <v>18469905</v>
      </c>
      <c r="S30" s="465">
        <f t="shared" si="10"/>
        <v>50056479</v>
      </c>
      <c r="T30" s="461">
        <f t="shared" si="1"/>
        <v>5.690216772409184</v>
      </c>
      <c r="U30" s="436">
        <f t="shared" si="3"/>
        <v>0</v>
      </c>
      <c r="V30" s="559"/>
      <c r="W30" s="559"/>
    </row>
    <row r="31" spans="1:23" ht="19.5" customHeight="1">
      <c r="A31" s="419" t="s">
        <v>47</v>
      </c>
      <c r="B31" s="418" t="s">
        <v>509</v>
      </c>
      <c r="C31" s="460">
        <f t="shared" si="4"/>
        <v>3547565</v>
      </c>
      <c r="D31" s="533">
        <v>2899961</v>
      </c>
      <c r="E31" s="533">
        <v>647604</v>
      </c>
      <c r="F31" s="533">
        <v>0</v>
      </c>
      <c r="G31" s="424"/>
      <c r="H31" s="460">
        <f t="shared" si="5"/>
        <v>3547565</v>
      </c>
      <c r="I31" s="460">
        <f t="shared" si="6"/>
        <v>3271910</v>
      </c>
      <c r="J31" s="533">
        <v>19448</v>
      </c>
      <c r="K31" s="533">
        <v>0</v>
      </c>
      <c r="L31" s="533">
        <v>0</v>
      </c>
      <c r="M31" s="533">
        <v>3252462</v>
      </c>
      <c r="N31" s="533">
        <v>0</v>
      </c>
      <c r="O31" s="533">
        <v>0</v>
      </c>
      <c r="P31" s="533">
        <v>0</v>
      </c>
      <c r="Q31" s="533">
        <v>0</v>
      </c>
      <c r="R31" s="533">
        <v>275655</v>
      </c>
      <c r="S31" s="465">
        <f t="shared" si="10"/>
        <v>3528117</v>
      </c>
      <c r="T31" s="466">
        <f t="shared" si="1"/>
        <v>0.5943928775547005</v>
      </c>
      <c r="U31" s="436">
        <f t="shared" si="3"/>
        <v>0</v>
      </c>
      <c r="V31" s="559"/>
      <c r="W31" s="559"/>
    </row>
    <row r="32" spans="1:23" ht="19.5" customHeight="1">
      <c r="A32" s="419" t="s">
        <v>48</v>
      </c>
      <c r="B32" s="418" t="s">
        <v>508</v>
      </c>
      <c r="C32" s="460">
        <f t="shared" si="4"/>
        <v>12421770</v>
      </c>
      <c r="D32" s="533">
        <v>11713993</v>
      </c>
      <c r="E32" s="533">
        <v>707777</v>
      </c>
      <c r="F32" s="533">
        <v>0</v>
      </c>
      <c r="G32" s="424"/>
      <c r="H32" s="460">
        <f t="shared" si="5"/>
        <v>12421770</v>
      </c>
      <c r="I32" s="460">
        <f t="shared" si="6"/>
        <v>6949798</v>
      </c>
      <c r="J32" s="533">
        <v>1323980</v>
      </c>
      <c r="K32" s="533">
        <v>960</v>
      </c>
      <c r="L32" s="533">
        <v>0</v>
      </c>
      <c r="M32" s="533">
        <v>4883517</v>
      </c>
      <c r="N32" s="533">
        <v>659213</v>
      </c>
      <c r="O32" s="533">
        <v>0</v>
      </c>
      <c r="P32" s="533">
        <v>0</v>
      </c>
      <c r="Q32" s="533">
        <v>82128</v>
      </c>
      <c r="R32" s="533">
        <v>5471972</v>
      </c>
      <c r="S32" s="465">
        <f t="shared" si="10"/>
        <v>11096830</v>
      </c>
      <c r="T32" s="466">
        <f t="shared" si="1"/>
        <v>19.06443899520533</v>
      </c>
      <c r="U32" s="436">
        <f t="shared" si="3"/>
        <v>0</v>
      </c>
      <c r="V32" s="559"/>
      <c r="W32" s="559"/>
    </row>
    <row r="33" spans="1:23" ht="19.5" customHeight="1">
      <c r="A33" s="419" t="s">
        <v>507</v>
      </c>
      <c r="B33" s="418" t="s">
        <v>506</v>
      </c>
      <c r="C33" s="460">
        <f t="shared" si="4"/>
        <v>21382124</v>
      </c>
      <c r="D33" s="533">
        <v>18678712</v>
      </c>
      <c r="E33" s="533">
        <v>2703412</v>
      </c>
      <c r="F33" s="533">
        <v>201</v>
      </c>
      <c r="G33" s="424"/>
      <c r="H33" s="460">
        <f t="shared" si="5"/>
        <v>21381923</v>
      </c>
      <c r="I33" s="460">
        <f t="shared" si="6"/>
        <v>12618152</v>
      </c>
      <c r="J33" s="533">
        <v>42828</v>
      </c>
      <c r="K33" s="533">
        <v>75000</v>
      </c>
      <c r="L33" s="533"/>
      <c r="M33" s="533">
        <v>12500324</v>
      </c>
      <c r="N33" s="533">
        <v>0</v>
      </c>
      <c r="O33" s="533">
        <v>0</v>
      </c>
      <c r="P33" s="533">
        <v>0</v>
      </c>
      <c r="Q33" s="533">
        <v>0</v>
      </c>
      <c r="R33" s="533">
        <v>8763771</v>
      </c>
      <c r="S33" s="465">
        <f t="shared" si="10"/>
        <v>21264095</v>
      </c>
      <c r="T33" s="466">
        <f t="shared" si="1"/>
        <v>0.9337975957176614</v>
      </c>
      <c r="U33" s="436">
        <f t="shared" si="3"/>
        <v>0</v>
      </c>
      <c r="V33" s="559"/>
      <c r="W33" s="559"/>
    </row>
    <row r="34" spans="1:23" ht="19.5" customHeight="1">
      <c r="A34" s="419" t="s">
        <v>505</v>
      </c>
      <c r="B34" s="418" t="s">
        <v>504</v>
      </c>
      <c r="C34" s="460">
        <f t="shared" si="4"/>
        <v>7675983</v>
      </c>
      <c r="D34" s="533">
        <v>6937070</v>
      </c>
      <c r="E34" s="533">
        <v>738913</v>
      </c>
      <c r="F34" s="533">
        <v>0</v>
      </c>
      <c r="G34" s="424"/>
      <c r="H34" s="460">
        <f t="shared" si="5"/>
        <v>7675983</v>
      </c>
      <c r="I34" s="460">
        <f t="shared" si="6"/>
        <v>4754955</v>
      </c>
      <c r="J34" s="533">
        <v>117056</v>
      </c>
      <c r="K34" s="533">
        <v>0</v>
      </c>
      <c r="L34" s="533"/>
      <c r="M34" s="533">
        <v>2438713</v>
      </c>
      <c r="N34" s="533">
        <v>6000</v>
      </c>
      <c r="O34" s="533"/>
      <c r="P34" s="533"/>
      <c r="Q34" s="533">
        <v>2193186</v>
      </c>
      <c r="R34" s="533">
        <v>2921028</v>
      </c>
      <c r="S34" s="465">
        <f t="shared" si="10"/>
        <v>7558927</v>
      </c>
      <c r="T34" s="466">
        <f t="shared" si="1"/>
        <v>2.461768828516779</v>
      </c>
      <c r="U34" s="436">
        <f t="shared" si="3"/>
        <v>0</v>
      </c>
      <c r="V34" s="559"/>
      <c r="W34" s="559"/>
    </row>
    <row r="35" spans="1:23" ht="19.5" customHeight="1">
      <c r="A35" s="419" t="s">
        <v>503</v>
      </c>
      <c r="B35" s="418" t="s">
        <v>502</v>
      </c>
      <c r="C35" s="460">
        <f t="shared" si="4"/>
        <v>6945426</v>
      </c>
      <c r="D35" s="533">
        <v>6775434</v>
      </c>
      <c r="E35" s="533">
        <v>169992</v>
      </c>
      <c r="F35" s="533">
        <v>10400</v>
      </c>
      <c r="G35" s="469"/>
      <c r="H35" s="460">
        <f t="shared" si="5"/>
        <v>6935026</v>
      </c>
      <c r="I35" s="460">
        <f t="shared" si="6"/>
        <v>5897547</v>
      </c>
      <c r="J35" s="533">
        <v>153997</v>
      </c>
      <c r="K35" s="533">
        <v>172519</v>
      </c>
      <c r="L35" s="533">
        <v>0</v>
      </c>
      <c r="M35" s="533">
        <v>5398227</v>
      </c>
      <c r="N35" s="533">
        <v>121383</v>
      </c>
      <c r="O35" s="533">
        <v>42847</v>
      </c>
      <c r="P35" s="533">
        <v>0</v>
      </c>
      <c r="Q35" s="533">
        <v>8574</v>
      </c>
      <c r="R35" s="533">
        <v>1037479</v>
      </c>
      <c r="S35" s="465">
        <f t="shared" si="10"/>
        <v>6608510</v>
      </c>
      <c r="T35" s="466">
        <f t="shared" si="1"/>
        <v>5.5364713498680045</v>
      </c>
      <c r="U35" s="436">
        <f t="shared" si="3"/>
        <v>0</v>
      </c>
      <c r="V35" s="559"/>
      <c r="W35" s="559"/>
    </row>
    <row r="36" spans="1:23" ht="19.5" customHeight="1">
      <c r="A36" s="462" t="s">
        <v>49</v>
      </c>
      <c r="B36" s="463" t="s">
        <v>501</v>
      </c>
      <c r="C36" s="460">
        <f t="shared" si="4"/>
        <v>36906836</v>
      </c>
      <c r="D36" s="460">
        <f aca="true" t="shared" si="12" ref="D36:S36">+D37+D38+D39+D40</f>
        <v>30239382</v>
      </c>
      <c r="E36" s="460">
        <f t="shared" si="12"/>
        <v>6667454</v>
      </c>
      <c r="F36" s="460">
        <f t="shared" si="12"/>
        <v>18131</v>
      </c>
      <c r="G36" s="460">
        <f t="shared" si="12"/>
        <v>0</v>
      </c>
      <c r="H36" s="460">
        <f t="shared" si="12"/>
        <v>36888705</v>
      </c>
      <c r="I36" s="460">
        <f t="shared" si="12"/>
        <v>22970784</v>
      </c>
      <c r="J36" s="460">
        <f t="shared" si="12"/>
        <v>1557600</v>
      </c>
      <c r="K36" s="460">
        <f t="shared" si="12"/>
        <v>6343</v>
      </c>
      <c r="L36" s="460">
        <f t="shared" si="12"/>
        <v>0</v>
      </c>
      <c r="M36" s="460">
        <f t="shared" si="12"/>
        <v>20892988</v>
      </c>
      <c r="N36" s="460">
        <f t="shared" si="12"/>
        <v>403013</v>
      </c>
      <c r="O36" s="460">
        <f t="shared" si="12"/>
        <v>0</v>
      </c>
      <c r="P36" s="460">
        <f t="shared" si="12"/>
        <v>0</v>
      </c>
      <c r="Q36" s="460">
        <f t="shared" si="12"/>
        <v>110840</v>
      </c>
      <c r="R36" s="460">
        <f t="shared" si="12"/>
        <v>13917921</v>
      </c>
      <c r="S36" s="460">
        <f t="shared" si="12"/>
        <v>35324762</v>
      </c>
      <c r="T36" s="461">
        <f t="shared" si="1"/>
        <v>6.808400618803432</v>
      </c>
      <c r="U36" s="436">
        <f t="shared" si="3"/>
        <v>0</v>
      </c>
      <c r="V36" s="559"/>
      <c r="W36" s="559"/>
    </row>
    <row r="37" spans="1:23" ht="19.5" customHeight="1">
      <c r="A37" s="419" t="s">
        <v>112</v>
      </c>
      <c r="B37" s="425" t="s">
        <v>500</v>
      </c>
      <c r="C37" s="460">
        <f t="shared" si="4"/>
        <v>2191929</v>
      </c>
      <c r="D37" s="542">
        <v>843474</v>
      </c>
      <c r="E37" s="542">
        <v>1348455</v>
      </c>
      <c r="F37" s="527"/>
      <c r="G37" s="464"/>
      <c r="H37" s="460">
        <f aca="true" t="shared" si="13" ref="H37:H72">+I37+R37</f>
        <v>2191929</v>
      </c>
      <c r="I37" s="460">
        <f>+J37+K37+L37+M37+N37+O37+P37+Q37</f>
        <v>1911260</v>
      </c>
      <c r="J37" s="542">
        <v>33191</v>
      </c>
      <c r="K37" s="542"/>
      <c r="L37" s="544"/>
      <c r="M37" s="542">
        <v>1483956</v>
      </c>
      <c r="N37" s="542">
        <v>394113</v>
      </c>
      <c r="O37" s="544"/>
      <c r="P37" s="544"/>
      <c r="Q37" s="542"/>
      <c r="R37" s="545">
        <v>280669</v>
      </c>
      <c r="S37" s="470">
        <f>+R37+Q37+P37+O37+N37+M37</f>
        <v>2158738</v>
      </c>
      <c r="T37" s="466">
        <f t="shared" si="1"/>
        <v>1.7366030785973652</v>
      </c>
      <c r="U37" s="436">
        <f t="shared" si="3"/>
        <v>0</v>
      </c>
      <c r="V37" s="559"/>
      <c r="W37" s="559"/>
    </row>
    <row r="38" spans="1:23" ht="19.5" customHeight="1">
      <c r="A38" s="419" t="s">
        <v>113</v>
      </c>
      <c r="B38" s="418" t="s">
        <v>499</v>
      </c>
      <c r="C38" s="460">
        <f t="shared" si="4"/>
        <v>6027049</v>
      </c>
      <c r="D38" s="542">
        <v>5109440</v>
      </c>
      <c r="E38" s="542">
        <v>917609</v>
      </c>
      <c r="F38" s="417"/>
      <c r="G38" s="464"/>
      <c r="H38" s="460">
        <f t="shared" si="13"/>
        <v>6027049</v>
      </c>
      <c r="I38" s="460">
        <f>+J38+K38+L38+M38+N38+O38+P38+Q38</f>
        <v>4275135</v>
      </c>
      <c r="J38" s="543">
        <v>26924</v>
      </c>
      <c r="K38" s="543"/>
      <c r="L38" s="544"/>
      <c r="M38" s="543">
        <v>4248211</v>
      </c>
      <c r="N38" s="546"/>
      <c r="O38" s="546"/>
      <c r="P38" s="543"/>
      <c r="Q38" s="547"/>
      <c r="R38" s="548" t="s">
        <v>555</v>
      </c>
      <c r="S38" s="470">
        <f>+R38+Q38+P38+O38+N38+M38</f>
        <v>6000125</v>
      </c>
      <c r="T38" s="466">
        <f t="shared" si="1"/>
        <v>0.6297812817606929</v>
      </c>
      <c r="U38" s="436">
        <f t="shared" si="3"/>
        <v>0</v>
      </c>
      <c r="V38" s="559"/>
      <c r="W38" s="559"/>
    </row>
    <row r="39" spans="1:23" ht="19.5" customHeight="1">
      <c r="A39" s="419" t="s">
        <v>114</v>
      </c>
      <c r="B39" s="418" t="s">
        <v>498</v>
      </c>
      <c r="C39" s="460">
        <f t="shared" si="4"/>
        <v>15173283</v>
      </c>
      <c r="D39" s="542">
        <v>13665647</v>
      </c>
      <c r="E39" s="542">
        <v>1507636</v>
      </c>
      <c r="F39" s="528"/>
      <c r="G39" s="464"/>
      <c r="H39" s="460">
        <f t="shared" si="13"/>
        <v>15173283</v>
      </c>
      <c r="I39" s="460">
        <f>+J39+K39+L39+M39+N39+O39+P39+Q39</f>
        <v>7366901</v>
      </c>
      <c r="J39" s="543">
        <v>290287</v>
      </c>
      <c r="K39" s="546"/>
      <c r="L39" s="546"/>
      <c r="M39" s="543">
        <v>7076114</v>
      </c>
      <c r="N39" s="546" t="s">
        <v>556</v>
      </c>
      <c r="O39" s="546"/>
      <c r="P39" s="546"/>
      <c r="Q39" s="547"/>
      <c r="R39" s="545">
        <v>7806382</v>
      </c>
      <c r="S39" s="470">
        <f>+R39+Q39+P39+O39+N39+M39</f>
        <v>14882996</v>
      </c>
      <c r="T39" s="466">
        <f t="shared" si="1"/>
        <v>3.9404221666613957</v>
      </c>
      <c r="U39" s="436">
        <f t="shared" si="3"/>
        <v>0</v>
      </c>
      <c r="V39" s="559"/>
      <c r="W39" s="559"/>
    </row>
    <row r="40" spans="1:23" ht="19.5" customHeight="1">
      <c r="A40" s="419" t="s">
        <v>497</v>
      </c>
      <c r="B40" s="418" t="s">
        <v>496</v>
      </c>
      <c r="C40" s="460">
        <f t="shared" si="4"/>
        <v>13514575</v>
      </c>
      <c r="D40" s="543">
        <v>10620821</v>
      </c>
      <c r="E40" s="542">
        <v>2893754</v>
      </c>
      <c r="F40" s="542">
        <v>18131</v>
      </c>
      <c r="G40" s="464"/>
      <c r="H40" s="460">
        <f t="shared" si="13"/>
        <v>13496444</v>
      </c>
      <c r="I40" s="460">
        <f>+J40+K40+L40+M40+N40+O40+P40+Q40</f>
        <v>9417488</v>
      </c>
      <c r="J40" s="542">
        <v>1207198</v>
      </c>
      <c r="K40" s="542">
        <v>6343</v>
      </c>
      <c r="L40" s="546"/>
      <c r="M40" s="549">
        <v>8084707</v>
      </c>
      <c r="N40" s="546" t="s">
        <v>527</v>
      </c>
      <c r="O40" s="546"/>
      <c r="P40" s="546"/>
      <c r="Q40" s="547" t="s">
        <v>538</v>
      </c>
      <c r="R40" s="548" t="s">
        <v>557</v>
      </c>
      <c r="S40" s="470">
        <f>+R40+Q40+P40+O40+N40+M40</f>
        <v>12282903</v>
      </c>
      <c r="T40" s="466">
        <f t="shared" si="1"/>
        <v>12.886037125823787</v>
      </c>
      <c r="U40" s="436">
        <f t="shared" si="3"/>
        <v>0</v>
      </c>
      <c r="V40" s="559"/>
      <c r="W40" s="559"/>
    </row>
    <row r="41" spans="1:23" ht="19.5" customHeight="1">
      <c r="A41" s="462" t="s">
        <v>58</v>
      </c>
      <c r="B41" s="463" t="s">
        <v>495</v>
      </c>
      <c r="C41" s="460">
        <f t="shared" si="4"/>
        <v>19247196</v>
      </c>
      <c r="D41" s="460">
        <f>SUM(D42:D44)</f>
        <v>18702254</v>
      </c>
      <c r="E41" s="460">
        <f>SUM(E42:E44)</f>
        <v>544942</v>
      </c>
      <c r="F41" s="460">
        <f>SUM(F42:F44)</f>
        <v>0</v>
      </c>
      <c r="G41" s="460">
        <f>SUM(G42:G44)</f>
        <v>0</v>
      </c>
      <c r="H41" s="460">
        <f t="shared" si="13"/>
        <v>19247196</v>
      </c>
      <c r="I41" s="460">
        <f>SUM(J41:Q41)</f>
        <v>15288879</v>
      </c>
      <c r="J41" s="460">
        <f aca="true" t="shared" si="14" ref="J41:R41">SUM(J42:J44)</f>
        <v>618160</v>
      </c>
      <c r="K41" s="460">
        <f t="shared" si="14"/>
        <v>20400</v>
      </c>
      <c r="L41" s="460">
        <f t="shared" si="14"/>
        <v>0</v>
      </c>
      <c r="M41" s="460">
        <f t="shared" si="14"/>
        <v>14650319</v>
      </c>
      <c r="N41" s="460">
        <f t="shared" si="14"/>
        <v>0</v>
      </c>
      <c r="O41" s="460">
        <f t="shared" si="14"/>
        <v>0</v>
      </c>
      <c r="P41" s="460">
        <f t="shared" si="14"/>
        <v>0</v>
      </c>
      <c r="Q41" s="460">
        <f t="shared" si="14"/>
        <v>0</v>
      </c>
      <c r="R41" s="460">
        <f t="shared" si="14"/>
        <v>3958317</v>
      </c>
      <c r="S41" s="465">
        <f aca="true" t="shared" si="15" ref="S41:S72">SUM(M41:R41)</f>
        <v>18608636</v>
      </c>
      <c r="T41" s="461">
        <f t="shared" si="1"/>
        <v>4.176630608431134</v>
      </c>
      <c r="U41" s="436">
        <f t="shared" si="3"/>
        <v>0</v>
      </c>
      <c r="V41" s="559"/>
      <c r="W41" s="559"/>
    </row>
    <row r="42" spans="1:23" ht="19.5" customHeight="1">
      <c r="A42" s="419" t="s">
        <v>115</v>
      </c>
      <c r="B42" s="418" t="s">
        <v>494</v>
      </c>
      <c r="C42" s="460">
        <f t="shared" si="4"/>
        <v>4165091</v>
      </c>
      <c r="D42" s="417">
        <v>4162531</v>
      </c>
      <c r="E42" s="417">
        <v>2560</v>
      </c>
      <c r="F42" s="417"/>
      <c r="G42" s="464"/>
      <c r="H42" s="460">
        <f t="shared" si="13"/>
        <v>4165091</v>
      </c>
      <c r="I42" s="460">
        <f>+J42+K42+L42+M42+N42+O42+P42+Q42</f>
        <v>3988195</v>
      </c>
      <c r="J42" s="417">
        <v>4460</v>
      </c>
      <c r="K42" s="546"/>
      <c r="L42" s="546"/>
      <c r="M42" s="417">
        <v>3983735</v>
      </c>
      <c r="N42" s="546"/>
      <c r="O42" s="546"/>
      <c r="P42" s="546"/>
      <c r="Q42" s="546"/>
      <c r="R42" s="556">
        <v>176896</v>
      </c>
      <c r="S42" s="465">
        <f t="shared" si="15"/>
        <v>4160631</v>
      </c>
      <c r="T42" s="466">
        <f t="shared" si="1"/>
        <v>0.11183003840083046</v>
      </c>
      <c r="U42" s="436">
        <f t="shared" si="3"/>
        <v>0</v>
      </c>
      <c r="V42" s="559"/>
      <c r="W42" s="559"/>
    </row>
    <row r="43" spans="1:23" ht="19.5" customHeight="1">
      <c r="A43" s="419" t="s">
        <v>116</v>
      </c>
      <c r="B43" s="418" t="s">
        <v>493</v>
      </c>
      <c r="C43" s="460">
        <f t="shared" si="4"/>
        <v>6164189</v>
      </c>
      <c r="D43" s="511">
        <v>5724846</v>
      </c>
      <c r="E43" s="417">
        <v>439343</v>
      </c>
      <c r="F43" s="417"/>
      <c r="G43" s="464"/>
      <c r="H43" s="460">
        <f t="shared" si="13"/>
        <v>6164189</v>
      </c>
      <c r="I43" s="460">
        <f>+J43+K43+L43+M43+N43+O43+P43+Q43</f>
        <v>5218811</v>
      </c>
      <c r="J43" s="417">
        <v>522189</v>
      </c>
      <c r="K43" s="546"/>
      <c r="L43" s="546"/>
      <c r="M43" s="417">
        <v>4696622</v>
      </c>
      <c r="N43" s="546"/>
      <c r="O43" s="546"/>
      <c r="P43" s="546"/>
      <c r="Q43" s="546"/>
      <c r="R43" s="556">
        <v>945378</v>
      </c>
      <c r="S43" s="465">
        <f t="shared" si="15"/>
        <v>5642000</v>
      </c>
      <c r="T43" s="466">
        <f t="shared" si="1"/>
        <v>10.005899811278853</v>
      </c>
      <c r="U43" s="436">
        <f t="shared" si="3"/>
        <v>0</v>
      </c>
      <c r="V43" s="559"/>
      <c r="W43" s="559"/>
    </row>
    <row r="44" spans="1:23" ht="19.5" customHeight="1">
      <c r="A44" s="419" t="s">
        <v>117</v>
      </c>
      <c r="B44" s="418" t="s">
        <v>492</v>
      </c>
      <c r="C44" s="460">
        <f t="shared" si="4"/>
        <v>8917916</v>
      </c>
      <c r="D44" s="417">
        <v>8814877</v>
      </c>
      <c r="E44" s="417">
        <v>103039</v>
      </c>
      <c r="F44" s="417"/>
      <c r="G44" s="464"/>
      <c r="H44" s="460">
        <f t="shared" si="13"/>
        <v>8917916</v>
      </c>
      <c r="I44" s="460">
        <f>+J44+K44+L44+M44+N44+O44+P44+Q44</f>
        <v>6081873</v>
      </c>
      <c r="J44" s="417">
        <v>91511</v>
      </c>
      <c r="K44" s="417">
        <v>20400</v>
      </c>
      <c r="L44" s="546"/>
      <c r="M44" s="417">
        <v>5969962</v>
      </c>
      <c r="N44" s="546"/>
      <c r="O44" s="546"/>
      <c r="P44" s="546"/>
      <c r="Q44" s="546"/>
      <c r="R44" s="556">
        <v>2836043</v>
      </c>
      <c r="S44" s="465">
        <f t="shared" si="15"/>
        <v>8806005</v>
      </c>
      <c r="T44" s="466">
        <f t="shared" si="1"/>
        <v>1.8400745954412399</v>
      </c>
      <c r="U44" s="436">
        <f t="shared" si="3"/>
        <v>0</v>
      </c>
      <c r="V44" s="559"/>
      <c r="W44" s="559"/>
    </row>
    <row r="45" spans="1:23" ht="19.5" customHeight="1">
      <c r="A45" s="462" t="s">
        <v>59</v>
      </c>
      <c r="B45" s="463" t="s">
        <v>491</v>
      </c>
      <c r="C45" s="460">
        <f t="shared" si="4"/>
        <v>22310100</v>
      </c>
      <c r="D45" s="460">
        <f>SUM(D46:D49)</f>
        <v>19787083</v>
      </c>
      <c r="E45" s="460">
        <f>SUM(E46:E49)</f>
        <v>2523017</v>
      </c>
      <c r="F45" s="460">
        <f>SUM(F46:F49)</f>
        <v>600</v>
      </c>
      <c r="G45" s="460">
        <f>SUM(G46:G49)</f>
        <v>0</v>
      </c>
      <c r="H45" s="460">
        <f t="shared" si="13"/>
        <v>22309500</v>
      </c>
      <c r="I45" s="460">
        <f>SUM(J45:Q45)</f>
        <v>17365326</v>
      </c>
      <c r="J45" s="460">
        <f>SUM(J46:J49)</f>
        <v>330219</v>
      </c>
      <c r="K45" s="460">
        <f>SUM(K46:K49)</f>
        <v>9850</v>
      </c>
      <c r="L45" s="460"/>
      <c r="M45" s="460">
        <f aca="true" t="shared" si="16" ref="M45:R45">SUM(M46:M49)</f>
        <v>16489898</v>
      </c>
      <c r="N45" s="460">
        <f t="shared" si="16"/>
        <v>432078</v>
      </c>
      <c r="O45" s="460">
        <f t="shared" si="16"/>
        <v>103281</v>
      </c>
      <c r="P45" s="460">
        <f t="shared" si="16"/>
        <v>0</v>
      </c>
      <c r="Q45" s="460">
        <f t="shared" si="16"/>
        <v>0</v>
      </c>
      <c r="R45" s="460">
        <f t="shared" si="16"/>
        <v>4944174</v>
      </c>
      <c r="S45" s="465">
        <f t="shared" si="15"/>
        <v>21969431</v>
      </c>
      <c r="T45" s="466">
        <f t="shared" si="1"/>
        <v>1.9583220032840156</v>
      </c>
      <c r="U45" s="436">
        <f t="shared" si="3"/>
        <v>0</v>
      </c>
      <c r="V45" s="559"/>
      <c r="W45" s="559"/>
    </row>
    <row r="46" spans="1:23" ht="19.5" customHeight="1">
      <c r="A46" s="419" t="s">
        <v>118</v>
      </c>
      <c r="B46" s="423" t="s">
        <v>490</v>
      </c>
      <c r="C46" s="460">
        <f t="shared" si="4"/>
        <v>1493220</v>
      </c>
      <c r="D46" s="464">
        <v>860946</v>
      </c>
      <c r="E46" s="464">
        <v>632274</v>
      </c>
      <c r="F46" s="464">
        <v>600</v>
      </c>
      <c r="G46" s="464"/>
      <c r="H46" s="460">
        <f t="shared" si="13"/>
        <v>1492620</v>
      </c>
      <c r="I46" s="460">
        <f>+J46+K46+L46+M46+N46+O46+P46+Q46</f>
        <v>1354174</v>
      </c>
      <c r="J46" s="464">
        <v>121295</v>
      </c>
      <c r="K46" s="417"/>
      <c r="L46" s="417"/>
      <c r="M46" s="464">
        <v>1232879</v>
      </c>
      <c r="N46" s="417"/>
      <c r="O46" s="417"/>
      <c r="P46" s="417"/>
      <c r="Q46" s="417"/>
      <c r="R46" s="464">
        <v>138446</v>
      </c>
      <c r="S46" s="465">
        <f t="shared" si="15"/>
        <v>1371325</v>
      </c>
      <c r="T46" s="466">
        <f t="shared" si="1"/>
        <v>8.95712072451546</v>
      </c>
      <c r="U46" s="436">
        <f t="shared" si="3"/>
        <v>0</v>
      </c>
      <c r="V46" s="559"/>
      <c r="W46" s="559"/>
    </row>
    <row r="47" spans="1:23" ht="19.5" customHeight="1">
      <c r="A47" s="419" t="s">
        <v>119</v>
      </c>
      <c r="B47" s="422" t="s">
        <v>489</v>
      </c>
      <c r="C47" s="460">
        <f t="shared" si="4"/>
        <v>10249453</v>
      </c>
      <c r="D47" s="464">
        <v>9601654</v>
      </c>
      <c r="E47" s="464">
        <v>647799</v>
      </c>
      <c r="F47" s="464"/>
      <c r="G47" s="464"/>
      <c r="H47" s="460">
        <f t="shared" si="13"/>
        <v>10249453</v>
      </c>
      <c r="I47" s="460">
        <f>+J47+K47+L47+M47+N47+O47+P47+Q47</f>
        <v>8232763</v>
      </c>
      <c r="J47" s="464">
        <v>38311</v>
      </c>
      <c r="K47" s="417"/>
      <c r="L47" s="417"/>
      <c r="M47" s="464">
        <v>8091170</v>
      </c>
      <c r="N47" s="464">
        <v>1</v>
      </c>
      <c r="O47" s="464">
        <v>103281</v>
      </c>
      <c r="P47" s="417"/>
      <c r="Q47" s="417"/>
      <c r="R47" s="464">
        <v>2016690</v>
      </c>
      <c r="S47" s="465">
        <f t="shared" si="15"/>
        <v>10211142</v>
      </c>
      <c r="T47" s="466">
        <f t="shared" si="1"/>
        <v>0.46534802471539627</v>
      </c>
      <c r="U47" s="436">
        <f t="shared" si="3"/>
        <v>0</v>
      </c>
      <c r="V47" s="559"/>
      <c r="W47" s="559"/>
    </row>
    <row r="48" spans="1:23" ht="19.5" customHeight="1">
      <c r="A48" s="419" t="s">
        <v>120</v>
      </c>
      <c r="B48" s="421" t="s">
        <v>488</v>
      </c>
      <c r="C48" s="460">
        <f t="shared" si="4"/>
        <v>5230477</v>
      </c>
      <c r="D48" s="464">
        <v>4890774</v>
      </c>
      <c r="E48" s="464">
        <v>339703</v>
      </c>
      <c r="F48" s="464"/>
      <c r="G48" s="464"/>
      <c r="H48" s="460">
        <f t="shared" si="13"/>
        <v>5230477</v>
      </c>
      <c r="I48" s="460">
        <f>+J48+K48+L48+M48+N48+O48+P48+Q48</f>
        <v>3512882</v>
      </c>
      <c r="J48" s="464">
        <v>40374</v>
      </c>
      <c r="K48" s="464">
        <v>2188</v>
      </c>
      <c r="L48" s="417"/>
      <c r="M48" s="464">
        <v>3470320</v>
      </c>
      <c r="N48" s="417"/>
      <c r="O48" s="417"/>
      <c r="P48" s="417"/>
      <c r="Q48" s="417"/>
      <c r="R48" s="464">
        <v>1717595</v>
      </c>
      <c r="S48" s="465">
        <f t="shared" si="15"/>
        <v>5187915</v>
      </c>
      <c r="T48" s="466">
        <f t="shared" si="1"/>
        <v>1.2115977707193126</v>
      </c>
      <c r="U48" s="436">
        <f t="shared" si="3"/>
        <v>0</v>
      </c>
      <c r="V48" s="559"/>
      <c r="W48" s="559"/>
    </row>
    <row r="49" spans="1:23" ht="19.5" customHeight="1">
      <c r="A49" s="419" t="s">
        <v>487</v>
      </c>
      <c r="B49" s="422" t="s">
        <v>486</v>
      </c>
      <c r="C49" s="460">
        <f t="shared" si="4"/>
        <v>5336950</v>
      </c>
      <c r="D49" s="464">
        <v>4433709</v>
      </c>
      <c r="E49" s="464">
        <v>903241</v>
      </c>
      <c r="F49" s="464"/>
      <c r="G49" s="464"/>
      <c r="H49" s="460">
        <f t="shared" si="13"/>
        <v>5336950</v>
      </c>
      <c r="I49" s="460">
        <f>+J49+K49+L49+M49+N49+O49+P49+Q49</f>
        <v>4265507</v>
      </c>
      <c r="J49" s="464">
        <v>130239</v>
      </c>
      <c r="K49" s="464">
        <v>7662</v>
      </c>
      <c r="L49" s="417"/>
      <c r="M49" s="464">
        <v>3695529</v>
      </c>
      <c r="N49" s="464">
        <v>432077</v>
      </c>
      <c r="O49" s="417"/>
      <c r="P49" s="417"/>
      <c r="Q49" s="417"/>
      <c r="R49" s="464">
        <v>1071443</v>
      </c>
      <c r="S49" s="465">
        <f t="shared" si="15"/>
        <v>5199049</v>
      </c>
      <c r="T49" s="466">
        <f t="shared" si="1"/>
        <v>3.2329333886921297</v>
      </c>
      <c r="U49" s="436">
        <f t="shared" si="3"/>
        <v>0</v>
      </c>
      <c r="V49" s="559"/>
      <c r="W49" s="559"/>
    </row>
    <row r="50" spans="1:23" ht="19.5" customHeight="1">
      <c r="A50" s="462" t="s">
        <v>60</v>
      </c>
      <c r="B50" s="463" t="s">
        <v>485</v>
      </c>
      <c r="C50" s="460">
        <f t="shared" si="4"/>
        <v>60029467</v>
      </c>
      <c r="D50" s="460">
        <f>SUM(D51:D55)</f>
        <v>56246746</v>
      </c>
      <c r="E50" s="460">
        <f>SUM(E51:E55)</f>
        <v>3782721</v>
      </c>
      <c r="F50" s="460">
        <f>SUM(F51:F55)</f>
        <v>0</v>
      </c>
      <c r="G50" s="460">
        <f>SUM(G51:G55)</f>
        <v>0</v>
      </c>
      <c r="H50" s="460">
        <f t="shared" si="13"/>
        <v>60029467</v>
      </c>
      <c r="I50" s="460">
        <f aca="true" t="shared" si="17" ref="I50:I72">SUM(J50:Q50)</f>
        <v>19978593</v>
      </c>
      <c r="J50" s="460">
        <f>SUM(J51:J55)</f>
        <v>724408</v>
      </c>
      <c r="K50" s="460">
        <f>SUM(K51:K55)</f>
        <v>326465</v>
      </c>
      <c r="L50" s="460"/>
      <c r="M50" s="460">
        <f aca="true" t="shared" si="18" ref="M50:R50">SUM(M51:M55)</f>
        <v>18927720</v>
      </c>
      <c r="N50" s="460">
        <f t="shared" si="18"/>
        <v>0</v>
      </c>
      <c r="O50" s="460">
        <f t="shared" si="18"/>
        <v>0</v>
      </c>
      <c r="P50" s="460">
        <f t="shared" si="18"/>
        <v>0</v>
      </c>
      <c r="Q50" s="460">
        <f t="shared" si="18"/>
        <v>0</v>
      </c>
      <c r="R50" s="460">
        <f t="shared" si="18"/>
        <v>40050874</v>
      </c>
      <c r="S50" s="465">
        <f t="shared" si="15"/>
        <v>58978594</v>
      </c>
      <c r="T50" s="461">
        <f t="shared" si="1"/>
        <v>5.259995035686447</v>
      </c>
      <c r="U50" s="436">
        <f t="shared" si="3"/>
        <v>0</v>
      </c>
      <c r="V50" s="559"/>
      <c r="W50" s="559"/>
    </row>
    <row r="51" spans="1:23" ht="19.5" customHeight="1">
      <c r="A51" s="419" t="s">
        <v>484</v>
      </c>
      <c r="B51" s="418" t="s">
        <v>483</v>
      </c>
      <c r="C51" s="460">
        <f t="shared" si="4"/>
        <v>3961441</v>
      </c>
      <c r="D51" s="471">
        <v>3861666</v>
      </c>
      <c r="E51" s="471">
        <v>99775</v>
      </c>
      <c r="F51" s="471"/>
      <c r="G51" s="464"/>
      <c r="H51" s="460">
        <f t="shared" si="13"/>
        <v>3961441</v>
      </c>
      <c r="I51" s="460">
        <f t="shared" si="17"/>
        <v>608783</v>
      </c>
      <c r="J51" s="471">
        <v>13400</v>
      </c>
      <c r="K51" s="471">
        <v>97750</v>
      </c>
      <c r="L51" s="471">
        <v>0</v>
      </c>
      <c r="M51" s="471">
        <v>497633</v>
      </c>
      <c r="N51" s="471"/>
      <c r="O51" s="471"/>
      <c r="P51" s="471"/>
      <c r="Q51" s="471"/>
      <c r="R51" s="471">
        <v>3352658</v>
      </c>
      <c r="S51" s="465">
        <f t="shared" si="15"/>
        <v>3850291</v>
      </c>
      <c r="T51" s="466">
        <f t="shared" si="1"/>
        <v>18.25773715757503</v>
      </c>
      <c r="U51" s="436">
        <f t="shared" si="3"/>
        <v>0</v>
      </c>
      <c r="V51" s="559"/>
      <c r="W51" s="559"/>
    </row>
    <row r="52" spans="1:23" ht="19.5" customHeight="1">
      <c r="A52" s="419" t="s">
        <v>482</v>
      </c>
      <c r="B52" s="418" t="s">
        <v>526</v>
      </c>
      <c r="C52" s="460">
        <f t="shared" si="4"/>
        <v>23640395</v>
      </c>
      <c r="D52" s="471">
        <v>22205467</v>
      </c>
      <c r="E52" s="471">
        <f>1434930-2</f>
        <v>1434928</v>
      </c>
      <c r="F52" s="471"/>
      <c r="G52" s="464"/>
      <c r="H52" s="460">
        <f t="shared" si="13"/>
        <v>23640395</v>
      </c>
      <c r="I52" s="460">
        <f t="shared" si="17"/>
        <v>8399193</v>
      </c>
      <c r="J52" s="471">
        <v>352805</v>
      </c>
      <c r="K52" s="471">
        <v>12052</v>
      </c>
      <c r="L52" s="471">
        <v>0</v>
      </c>
      <c r="M52" s="471">
        <v>8034336</v>
      </c>
      <c r="N52" s="471"/>
      <c r="O52" s="471"/>
      <c r="P52" s="471"/>
      <c r="Q52" s="471"/>
      <c r="R52" s="471">
        <v>15241202</v>
      </c>
      <c r="S52" s="465">
        <f t="shared" si="15"/>
        <v>23275538</v>
      </c>
      <c r="T52" s="466">
        <f t="shared" si="1"/>
        <v>4.343953044060305</v>
      </c>
      <c r="U52" s="436">
        <f t="shared" si="3"/>
        <v>0</v>
      </c>
      <c r="V52" s="559"/>
      <c r="W52" s="559"/>
    </row>
    <row r="53" spans="1:23" ht="19.5" customHeight="1">
      <c r="A53" s="419" t="s">
        <v>480</v>
      </c>
      <c r="B53" s="418" t="s">
        <v>479</v>
      </c>
      <c r="C53" s="460">
        <f t="shared" si="4"/>
        <v>15781326</v>
      </c>
      <c r="D53" s="471">
        <f>14559896+1</f>
        <v>14559897</v>
      </c>
      <c r="E53" s="471">
        <v>1221429</v>
      </c>
      <c r="F53" s="471"/>
      <c r="G53" s="464"/>
      <c r="H53" s="460">
        <f t="shared" si="13"/>
        <v>15781326</v>
      </c>
      <c r="I53" s="460">
        <f t="shared" si="17"/>
        <v>7040532</v>
      </c>
      <c r="J53" s="471">
        <v>257062</v>
      </c>
      <c r="K53" s="471">
        <v>104663</v>
      </c>
      <c r="L53" s="471"/>
      <c r="M53" s="471">
        <v>6678807</v>
      </c>
      <c r="N53" s="471"/>
      <c r="O53" s="471"/>
      <c r="P53" s="471"/>
      <c r="Q53" s="471"/>
      <c r="R53" s="471">
        <v>8740794</v>
      </c>
      <c r="S53" s="465">
        <f t="shared" si="15"/>
        <v>15419601</v>
      </c>
      <c r="T53" s="466">
        <f t="shared" si="1"/>
        <v>5.137750954047222</v>
      </c>
      <c r="U53" s="436">
        <f t="shared" si="3"/>
        <v>0</v>
      </c>
      <c r="V53" s="559"/>
      <c r="W53" s="559"/>
    </row>
    <row r="54" spans="1:23" ht="19.5" customHeight="1">
      <c r="A54" s="419" t="s">
        <v>478</v>
      </c>
      <c r="B54" s="418" t="s">
        <v>477</v>
      </c>
      <c r="C54" s="460">
        <f t="shared" si="4"/>
        <v>3446640</v>
      </c>
      <c r="D54" s="471">
        <v>3150459</v>
      </c>
      <c r="E54" s="471">
        <f>296180+1</f>
        <v>296181</v>
      </c>
      <c r="F54" s="471"/>
      <c r="G54" s="464"/>
      <c r="H54" s="460">
        <f t="shared" si="13"/>
        <v>3446640</v>
      </c>
      <c r="I54" s="460">
        <f t="shared" si="17"/>
        <v>2645888</v>
      </c>
      <c r="J54" s="471">
        <v>34449</v>
      </c>
      <c r="K54" s="471">
        <v>108000</v>
      </c>
      <c r="L54" s="471">
        <v>0</v>
      </c>
      <c r="M54" s="471">
        <v>2503439</v>
      </c>
      <c r="N54" s="471"/>
      <c r="O54" s="471"/>
      <c r="P54" s="471"/>
      <c r="Q54" s="471"/>
      <c r="R54" s="471">
        <v>800752</v>
      </c>
      <c r="S54" s="465">
        <f t="shared" si="15"/>
        <v>3304191</v>
      </c>
      <c r="T54" s="466">
        <f t="shared" si="1"/>
        <v>5.383787975908278</v>
      </c>
      <c r="U54" s="436">
        <f t="shared" si="3"/>
        <v>0</v>
      </c>
      <c r="V54" s="559"/>
      <c r="W54" s="559"/>
    </row>
    <row r="55" spans="1:23" ht="19.5" customHeight="1">
      <c r="A55" s="419" t="s">
        <v>476</v>
      </c>
      <c r="B55" s="418" t="s">
        <v>558</v>
      </c>
      <c r="C55" s="460">
        <f t="shared" si="4"/>
        <v>13199665</v>
      </c>
      <c r="D55" s="471">
        <v>12469257</v>
      </c>
      <c r="E55" s="471">
        <f>730407+1</f>
        <v>730408</v>
      </c>
      <c r="F55" s="471"/>
      <c r="G55" s="464"/>
      <c r="H55" s="460">
        <f t="shared" si="13"/>
        <v>13199665</v>
      </c>
      <c r="I55" s="460">
        <f t="shared" si="17"/>
        <v>1284197</v>
      </c>
      <c r="J55" s="471">
        <v>66692</v>
      </c>
      <c r="K55" s="471">
        <v>4000</v>
      </c>
      <c r="L55" s="471">
        <v>0</v>
      </c>
      <c r="M55" s="471">
        <v>1213505</v>
      </c>
      <c r="N55" s="471"/>
      <c r="O55" s="471"/>
      <c r="P55" s="471"/>
      <c r="Q55" s="471"/>
      <c r="R55" s="471">
        <v>11915468</v>
      </c>
      <c r="S55" s="465">
        <f t="shared" si="15"/>
        <v>13128973</v>
      </c>
      <c r="T55" s="466">
        <f t="shared" si="1"/>
        <v>5.504762898527251</v>
      </c>
      <c r="U55" s="436">
        <f t="shared" si="3"/>
        <v>0</v>
      </c>
      <c r="V55" s="559"/>
      <c r="W55" s="559"/>
    </row>
    <row r="56" spans="1:23" ht="19.5" customHeight="1">
      <c r="A56" s="462" t="s">
        <v>61</v>
      </c>
      <c r="B56" s="463" t="s">
        <v>475</v>
      </c>
      <c r="C56" s="460">
        <f t="shared" si="4"/>
        <v>29939440</v>
      </c>
      <c r="D56" s="460">
        <f>SUM(D57:D61)</f>
        <v>26049620</v>
      </c>
      <c r="E56" s="460">
        <f>SUM(E57:E61)</f>
        <v>3889820</v>
      </c>
      <c r="F56" s="460">
        <f>SUM(F57:F61)</f>
        <v>184610</v>
      </c>
      <c r="G56" s="460">
        <f>SUM(G57:G61)</f>
        <v>0</v>
      </c>
      <c r="H56" s="460">
        <f t="shared" si="13"/>
        <v>29754830</v>
      </c>
      <c r="I56" s="460">
        <f t="shared" si="17"/>
        <v>23404918</v>
      </c>
      <c r="J56" s="460">
        <f>SUM(J57:J61)</f>
        <v>937938</v>
      </c>
      <c r="K56" s="460">
        <f>SUM(K57:K61)</f>
        <v>277603</v>
      </c>
      <c r="L56" s="460">
        <f>SUM(L57:L61)</f>
        <v>4401</v>
      </c>
      <c r="M56" s="460">
        <f aca="true" t="shared" si="19" ref="M56:R56">SUM(M57:M61)</f>
        <v>19917224</v>
      </c>
      <c r="N56" s="460">
        <f t="shared" si="19"/>
        <v>944498</v>
      </c>
      <c r="O56" s="460">
        <f t="shared" si="19"/>
        <v>0</v>
      </c>
      <c r="P56" s="460">
        <f t="shared" si="19"/>
        <v>0</v>
      </c>
      <c r="Q56" s="460">
        <f t="shared" si="19"/>
        <v>1323254</v>
      </c>
      <c r="R56" s="460">
        <f t="shared" si="19"/>
        <v>6349912</v>
      </c>
      <c r="S56" s="465">
        <f t="shared" si="15"/>
        <v>28534888</v>
      </c>
      <c r="T56" s="461">
        <f t="shared" si="1"/>
        <v>5.212331869737804</v>
      </c>
      <c r="U56" s="436">
        <f t="shared" si="3"/>
        <v>0</v>
      </c>
      <c r="V56" s="559"/>
      <c r="W56" s="559"/>
    </row>
    <row r="57" spans="1:23" ht="19.5" customHeight="1">
      <c r="A57" s="419" t="s">
        <v>474</v>
      </c>
      <c r="B57" s="418" t="s">
        <v>473</v>
      </c>
      <c r="C57" s="460">
        <f t="shared" si="4"/>
        <v>5956515</v>
      </c>
      <c r="D57" s="464">
        <v>5037341</v>
      </c>
      <c r="E57" s="464">
        <v>919174</v>
      </c>
      <c r="F57" s="464"/>
      <c r="G57" s="464"/>
      <c r="H57" s="460">
        <f t="shared" si="13"/>
        <v>5956515</v>
      </c>
      <c r="I57" s="460">
        <f t="shared" si="17"/>
        <v>4077753</v>
      </c>
      <c r="J57" s="464">
        <v>431270</v>
      </c>
      <c r="K57" s="464">
        <v>11756</v>
      </c>
      <c r="L57" s="471"/>
      <c r="M57" s="464">
        <v>3634727</v>
      </c>
      <c r="N57" s="471"/>
      <c r="O57" s="471"/>
      <c r="P57" s="471"/>
      <c r="Q57" s="471"/>
      <c r="R57" s="464">
        <v>1878762</v>
      </c>
      <c r="S57" s="465">
        <f t="shared" si="15"/>
        <v>5513489</v>
      </c>
      <c r="T57" s="466">
        <f t="shared" si="1"/>
        <v>10.864463835842926</v>
      </c>
      <c r="U57" s="436">
        <f t="shared" si="3"/>
        <v>0</v>
      </c>
      <c r="V57" s="559"/>
      <c r="W57" s="559"/>
    </row>
    <row r="58" spans="1:23" ht="19.5" customHeight="1">
      <c r="A58" s="419" t="s">
        <v>472</v>
      </c>
      <c r="B58" s="418" t="s">
        <v>471</v>
      </c>
      <c r="C58" s="460">
        <f t="shared" si="4"/>
        <v>6192138</v>
      </c>
      <c r="D58" s="464">
        <v>5920335</v>
      </c>
      <c r="E58" s="464">
        <v>271803</v>
      </c>
      <c r="F58" s="464">
        <v>200</v>
      </c>
      <c r="G58" s="464"/>
      <c r="H58" s="460">
        <f t="shared" si="13"/>
        <v>6191938</v>
      </c>
      <c r="I58" s="460">
        <f t="shared" si="17"/>
        <v>5212188</v>
      </c>
      <c r="J58" s="464">
        <v>121498</v>
      </c>
      <c r="K58" s="464">
        <v>10398</v>
      </c>
      <c r="L58" s="471"/>
      <c r="M58" s="464">
        <v>5080292</v>
      </c>
      <c r="N58" s="471"/>
      <c r="O58" s="471"/>
      <c r="P58" s="471"/>
      <c r="Q58" s="471"/>
      <c r="R58" s="464">
        <v>979750</v>
      </c>
      <c r="S58" s="465">
        <f t="shared" si="15"/>
        <v>6060042</v>
      </c>
      <c r="T58" s="466">
        <f t="shared" si="1"/>
        <v>2.5305303645992816</v>
      </c>
      <c r="U58" s="436">
        <f t="shared" si="3"/>
        <v>0</v>
      </c>
      <c r="V58" s="559"/>
      <c r="W58" s="559"/>
    </row>
    <row r="59" spans="1:23" ht="19.5" customHeight="1">
      <c r="A59" s="419" t="s">
        <v>470</v>
      </c>
      <c r="B59" s="418" t="s">
        <v>469</v>
      </c>
      <c r="C59" s="460">
        <f t="shared" si="4"/>
        <v>1859952</v>
      </c>
      <c r="D59" s="464">
        <v>1688888</v>
      </c>
      <c r="E59" s="464">
        <v>171064</v>
      </c>
      <c r="F59" s="464">
        <v>95450</v>
      </c>
      <c r="G59" s="464"/>
      <c r="H59" s="460">
        <f t="shared" si="13"/>
        <v>1764502</v>
      </c>
      <c r="I59" s="460">
        <f t="shared" si="17"/>
        <v>1091586</v>
      </c>
      <c r="J59" s="464">
        <v>17757</v>
      </c>
      <c r="K59" s="464">
        <v>0</v>
      </c>
      <c r="L59" s="471"/>
      <c r="M59" s="464">
        <v>433173</v>
      </c>
      <c r="N59" s="464">
        <v>640656</v>
      </c>
      <c r="O59" s="471"/>
      <c r="P59" s="471"/>
      <c r="Q59" s="471"/>
      <c r="R59" s="464">
        <v>672916</v>
      </c>
      <c r="S59" s="465">
        <f t="shared" si="15"/>
        <v>1746745</v>
      </c>
      <c r="T59" s="466">
        <f t="shared" si="1"/>
        <v>1.6267156229559556</v>
      </c>
      <c r="U59" s="436">
        <f t="shared" si="3"/>
        <v>0</v>
      </c>
      <c r="V59" s="559"/>
      <c r="W59" s="559"/>
    </row>
    <row r="60" spans="1:23" ht="19.5" customHeight="1">
      <c r="A60" s="419" t="s">
        <v>468</v>
      </c>
      <c r="B60" s="418" t="s">
        <v>467</v>
      </c>
      <c r="C60" s="460">
        <f t="shared" si="4"/>
        <v>6076638</v>
      </c>
      <c r="D60" s="464">
        <v>3973966</v>
      </c>
      <c r="E60" s="464">
        <v>2102672</v>
      </c>
      <c r="F60" s="464">
        <v>88960</v>
      </c>
      <c r="G60" s="464"/>
      <c r="H60" s="460">
        <f t="shared" si="13"/>
        <v>5987678</v>
      </c>
      <c r="I60" s="460">
        <f t="shared" si="17"/>
        <v>4928595</v>
      </c>
      <c r="J60" s="464">
        <v>76194</v>
      </c>
      <c r="K60" s="464">
        <v>195000</v>
      </c>
      <c r="L60" s="471"/>
      <c r="M60" s="464">
        <v>3200435</v>
      </c>
      <c r="N60" s="464">
        <v>303842</v>
      </c>
      <c r="O60" s="471"/>
      <c r="P60" s="471"/>
      <c r="Q60" s="464">
        <v>1153124</v>
      </c>
      <c r="R60" s="464">
        <v>1059083</v>
      </c>
      <c r="S60" s="465">
        <f t="shared" si="15"/>
        <v>5716484</v>
      </c>
      <c r="T60" s="466">
        <f t="shared" si="1"/>
        <v>5.502460640405633</v>
      </c>
      <c r="U60" s="436">
        <f t="shared" si="3"/>
        <v>0</v>
      </c>
      <c r="V60" s="559"/>
      <c r="W60" s="559"/>
    </row>
    <row r="61" spans="1:23" ht="19.5" customHeight="1">
      <c r="A61" s="419" t="s">
        <v>466</v>
      </c>
      <c r="B61" s="418" t="s">
        <v>465</v>
      </c>
      <c r="C61" s="460">
        <f t="shared" si="4"/>
        <v>9854197</v>
      </c>
      <c r="D61" s="464">
        <v>9429090</v>
      </c>
      <c r="E61" s="464">
        <v>425107</v>
      </c>
      <c r="F61" s="464"/>
      <c r="G61" s="464"/>
      <c r="H61" s="460">
        <f t="shared" si="13"/>
        <v>9854197</v>
      </c>
      <c r="I61" s="460">
        <f t="shared" si="17"/>
        <v>8094796</v>
      </c>
      <c r="J61" s="464">
        <v>291219</v>
      </c>
      <c r="K61" s="464">
        <v>60449</v>
      </c>
      <c r="L61" s="464">
        <v>4401</v>
      </c>
      <c r="M61" s="464">
        <v>7568597</v>
      </c>
      <c r="N61" s="471"/>
      <c r="O61" s="471"/>
      <c r="P61" s="471"/>
      <c r="Q61" s="464">
        <v>170130</v>
      </c>
      <c r="R61" s="464">
        <v>1759401</v>
      </c>
      <c r="S61" s="465">
        <f t="shared" si="15"/>
        <v>9498128</v>
      </c>
      <c r="T61" s="466">
        <f t="shared" si="1"/>
        <v>4.3987396346986385</v>
      </c>
      <c r="U61" s="436">
        <f t="shared" si="3"/>
        <v>0</v>
      </c>
      <c r="V61" s="559"/>
      <c r="W61" s="559"/>
    </row>
    <row r="62" spans="1:23" ht="19.5" customHeight="1">
      <c r="A62" s="462" t="s">
        <v>62</v>
      </c>
      <c r="B62" s="463" t="s">
        <v>464</v>
      </c>
      <c r="C62" s="460">
        <f t="shared" si="4"/>
        <v>109062521</v>
      </c>
      <c r="D62" s="460">
        <f>SUM(D63:D67)</f>
        <v>103620420</v>
      </c>
      <c r="E62" s="460">
        <f>SUM(E63:E67)</f>
        <v>5442101</v>
      </c>
      <c r="F62" s="460">
        <f>SUM(F63:F67)</f>
        <v>0</v>
      </c>
      <c r="G62" s="460">
        <f>SUM(G63:G67)</f>
        <v>0</v>
      </c>
      <c r="H62" s="460">
        <f t="shared" si="13"/>
        <v>109062521</v>
      </c>
      <c r="I62" s="460">
        <f t="shared" si="17"/>
        <v>68169173</v>
      </c>
      <c r="J62" s="460">
        <f>SUM(J63:J67)</f>
        <v>1805526</v>
      </c>
      <c r="K62" s="460">
        <f>SUM(K63:K67)</f>
        <v>1265071</v>
      </c>
      <c r="L62" s="460">
        <f>SUM(L63:L67)</f>
        <v>0</v>
      </c>
      <c r="M62" s="460">
        <f aca="true" t="shared" si="20" ref="M62:R62">SUM(M63:M67)</f>
        <v>65050471</v>
      </c>
      <c r="N62" s="460">
        <f t="shared" si="20"/>
        <v>15255</v>
      </c>
      <c r="O62" s="460">
        <f t="shared" si="20"/>
        <v>32850</v>
      </c>
      <c r="P62" s="460">
        <f t="shared" si="20"/>
        <v>0</v>
      </c>
      <c r="Q62" s="460">
        <f t="shared" si="20"/>
        <v>0</v>
      </c>
      <c r="R62" s="460">
        <f t="shared" si="20"/>
        <v>40893348</v>
      </c>
      <c r="S62" s="465">
        <f t="shared" si="15"/>
        <v>105991924</v>
      </c>
      <c r="T62" s="466">
        <f t="shared" si="1"/>
        <v>4.5043776605592685</v>
      </c>
      <c r="U62" s="436">
        <f t="shared" si="3"/>
        <v>0</v>
      </c>
      <c r="V62" s="559"/>
      <c r="W62" s="559"/>
    </row>
    <row r="63" spans="1:23" ht="19.5" customHeight="1">
      <c r="A63" s="419" t="s">
        <v>463</v>
      </c>
      <c r="B63" s="420" t="s">
        <v>462</v>
      </c>
      <c r="C63" s="460">
        <f t="shared" si="4"/>
        <v>19953182</v>
      </c>
      <c r="D63" s="473">
        <f>19350498</f>
        <v>19350498</v>
      </c>
      <c r="E63" s="473">
        <v>602684</v>
      </c>
      <c r="F63" s="472">
        <v>0</v>
      </c>
      <c r="G63" s="472">
        <v>0</v>
      </c>
      <c r="H63" s="460">
        <f t="shared" si="13"/>
        <v>19953182</v>
      </c>
      <c r="I63" s="460">
        <f t="shared" si="17"/>
        <v>17690847</v>
      </c>
      <c r="J63" s="473">
        <v>280326</v>
      </c>
      <c r="K63" s="473">
        <v>73321</v>
      </c>
      <c r="L63" s="471"/>
      <c r="M63" s="473">
        <v>17337200</v>
      </c>
      <c r="N63" s="471"/>
      <c r="O63" s="471"/>
      <c r="P63" s="471"/>
      <c r="Q63" s="471"/>
      <c r="R63" s="473">
        <v>2262335</v>
      </c>
      <c r="S63" s="465">
        <f t="shared" si="15"/>
        <v>19599535</v>
      </c>
      <c r="T63" s="466">
        <f t="shared" si="1"/>
        <v>1.9990393902564418</v>
      </c>
      <c r="U63" s="436">
        <f t="shared" si="3"/>
        <v>0</v>
      </c>
      <c r="V63" s="559"/>
      <c r="W63" s="559"/>
    </row>
    <row r="64" spans="1:23" ht="19.5" customHeight="1">
      <c r="A64" s="419" t="s">
        <v>461</v>
      </c>
      <c r="B64" s="420" t="s">
        <v>460</v>
      </c>
      <c r="C64" s="460">
        <f t="shared" si="4"/>
        <v>27979166</v>
      </c>
      <c r="D64" s="473">
        <f>18255317+5692403</f>
        <v>23947720</v>
      </c>
      <c r="E64" s="473">
        <v>4031446</v>
      </c>
      <c r="F64" s="472">
        <v>0</v>
      </c>
      <c r="G64" s="472">
        <v>0</v>
      </c>
      <c r="H64" s="460">
        <f t="shared" si="13"/>
        <v>27979166</v>
      </c>
      <c r="I64" s="460">
        <f t="shared" si="17"/>
        <v>17799924</v>
      </c>
      <c r="J64" s="473">
        <v>826414</v>
      </c>
      <c r="K64" s="471"/>
      <c r="L64" s="471"/>
      <c r="M64" s="473">
        <v>16973510</v>
      </c>
      <c r="N64" s="471"/>
      <c r="O64" s="471"/>
      <c r="P64" s="471"/>
      <c r="Q64" s="471"/>
      <c r="R64" s="473">
        <v>10179242</v>
      </c>
      <c r="S64" s="465">
        <f t="shared" si="15"/>
        <v>27152752</v>
      </c>
      <c r="T64" s="466">
        <f t="shared" si="1"/>
        <v>4.642795104068983</v>
      </c>
      <c r="U64" s="436">
        <f t="shared" si="3"/>
        <v>0</v>
      </c>
      <c r="V64" s="559"/>
      <c r="W64" s="559"/>
    </row>
    <row r="65" spans="1:23" ht="19.5" customHeight="1">
      <c r="A65" s="419" t="s">
        <v>459</v>
      </c>
      <c r="B65" s="420" t="s">
        <v>458</v>
      </c>
      <c r="C65" s="460">
        <f t="shared" si="4"/>
        <v>20632923</v>
      </c>
      <c r="D65" s="473">
        <v>20362121</v>
      </c>
      <c r="E65" s="473">
        <v>270802</v>
      </c>
      <c r="F65" s="472">
        <v>0</v>
      </c>
      <c r="G65" s="472">
        <v>0</v>
      </c>
      <c r="H65" s="460">
        <f t="shared" si="13"/>
        <v>20632923</v>
      </c>
      <c r="I65" s="460">
        <f t="shared" si="17"/>
        <v>14267504</v>
      </c>
      <c r="J65" s="473">
        <v>203840</v>
      </c>
      <c r="K65" s="471"/>
      <c r="L65" s="471"/>
      <c r="M65" s="473">
        <v>14030814</v>
      </c>
      <c r="N65" s="471"/>
      <c r="O65" s="473">
        <v>32850</v>
      </c>
      <c r="P65" s="471"/>
      <c r="Q65" s="471"/>
      <c r="R65" s="473">
        <v>6365419</v>
      </c>
      <c r="S65" s="465">
        <f t="shared" si="15"/>
        <v>20429083</v>
      </c>
      <c r="T65" s="466">
        <f t="shared" si="1"/>
        <v>1.428701193985998</v>
      </c>
      <c r="U65" s="436">
        <f t="shared" si="3"/>
        <v>0</v>
      </c>
      <c r="V65" s="559"/>
      <c r="W65" s="559"/>
    </row>
    <row r="66" spans="1:23" ht="19.5" customHeight="1">
      <c r="A66" s="419" t="s">
        <v>457</v>
      </c>
      <c r="B66" s="420" t="s">
        <v>456</v>
      </c>
      <c r="C66" s="460">
        <f t="shared" si="4"/>
        <v>22711747</v>
      </c>
      <c r="D66" s="473">
        <v>22667517</v>
      </c>
      <c r="E66" s="473">
        <v>44230</v>
      </c>
      <c r="F66" s="472">
        <v>0</v>
      </c>
      <c r="G66" s="472">
        <v>0</v>
      </c>
      <c r="H66" s="460">
        <f t="shared" si="13"/>
        <v>22711747</v>
      </c>
      <c r="I66" s="460">
        <f t="shared" si="17"/>
        <v>1030646</v>
      </c>
      <c r="J66" s="473">
        <v>25394</v>
      </c>
      <c r="K66" s="473">
        <v>528</v>
      </c>
      <c r="L66" s="471"/>
      <c r="M66" s="473">
        <v>1004724</v>
      </c>
      <c r="N66" s="471"/>
      <c r="O66" s="471"/>
      <c r="P66" s="471"/>
      <c r="Q66" s="471"/>
      <c r="R66" s="473">
        <v>21681101</v>
      </c>
      <c r="S66" s="465">
        <f t="shared" si="15"/>
        <v>22685825</v>
      </c>
      <c r="T66" s="466">
        <f t="shared" si="1"/>
        <v>2.515121583938617</v>
      </c>
      <c r="U66" s="436">
        <f t="shared" si="3"/>
        <v>0</v>
      </c>
      <c r="V66" s="559"/>
      <c r="W66" s="559"/>
    </row>
    <row r="67" spans="1:23" ht="19.5" customHeight="1">
      <c r="A67" s="419" t="s">
        <v>455</v>
      </c>
      <c r="B67" s="420" t="s">
        <v>454</v>
      </c>
      <c r="C67" s="460">
        <f t="shared" si="4"/>
        <v>17785503</v>
      </c>
      <c r="D67" s="473">
        <v>17292564</v>
      </c>
      <c r="E67" s="473">
        <f>492939</f>
        <v>492939</v>
      </c>
      <c r="F67" s="472">
        <v>0</v>
      </c>
      <c r="G67" s="472">
        <v>0</v>
      </c>
      <c r="H67" s="460">
        <f t="shared" si="13"/>
        <v>17785503</v>
      </c>
      <c r="I67" s="460">
        <f t="shared" si="17"/>
        <v>17380252</v>
      </c>
      <c r="J67" s="473">
        <v>469552</v>
      </c>
      <c r="K67" s="473">
        <v>1191222</v>
      </c>
      <c r="L67" s="471"/>
      <c r="M67" s="473">
        <v>15704223</v>
      </c>
      <c r="N67" s="473">
        <v>15255</v>
      </c>
      <c r="O67" s="471"/>
      <c r="P67" s="471"/>
      <c r="Q67" s="471"/>
      <c r="R67" s="473">
        <v>405251</v>
      </c>
      <c r="S67" s="465">
        <f t="shared" si="15"/>
        <v>16124729</v>
      </c>
      <c r="T67" s="466">
        <f t="shared" si="1"/>
        <v>9.555523130504668</v>
      </c>
      <c r="U67" s="436">
        <f t="shared" si="3"/>
        <v>0</v>
      </c>
      <c r="V67" s="559"/>
      <c r="W67" s="559"/>
    </row>
    <row r="68" spans="1:23" ht="19.5" customHeight="1">
      <c r="A68" s="462" t="s">
        <v>63</v>
      </c>
      <c r="B68" s="463" t="s">
        <v>453</v>
      </c>
      <c r="C68" s="460">
        <f t="shared" si="4"/>
        <v>19005434</v>
      </c>
      <c r="D68" s="460">
        <f>SUM(D69:D72)</f>
        <v>16583171</v>
      </c>
      <c r="E68" s="460">
        <f>SUM(E69:E72)</f>
        <v>2422263</v>
      </c>
      <c r="F68" s="460">
        <f>SUM(F69:F72)</f>
        <v>0</v>
      </c>
      <c r="G68" s="460">
        <f>SUM(G69:G72)</f>
        <v>0</v>
      </c>
      <c r="H68" s="460">
        <f t="shared" si="13"/>
        <v>19005434</v>
      </c>
      <c r="I68" s="460">
        <f t="shared" si="17"/>
        <v>11347771</v>
      </c>
      <c r="J68" s="460">
        <f>SUM(J69:J72)</f>
        <v>714029</v>
      </c>
      <c r="K68" s="460">
        <f>SUM(K69:K72)</f>
        <v>0</v>
      </c>
      <c r="L68" s="460">
        <f>SUM(L69:L72)</f>
        <v>0</v>
      </c>
      <c r="M68" s="460">
        <f aca="true" t="shared" si="21" ref="M68:R68">SUM(M69:M72)</f>
        <v>10341091</v>
      </c>
      <c r="N68" s="460">
        <f t="shared" si="21"/>
        <v>47588</v>
      </c>
      <c r="O68" s="460">
        <f t="shared" si="21"/>
        <v>0</v>
      </c>
      <c r="P68" s="460">
        <f t="shared" si="21"/>
        <v>0</v>
      </c>
      <c r="Q68" s="460">
        <f t="shared" si="21"/>
        <v>245063</v>
      </c>
      <c r="R68" s="460">
        <f t="shared" si="21"/>
        <v>7657663</v>
      </c>
      <c r="S68" s="465">
        <f t="shared" si="15"/>
        <v>18291405</v>
      </c>
      <c r="T68" s="461">
        <f t="shared" si="1"/>
        <v>6.29224012363309</v>
      </c>
      <c r="U68" s="436">
        <f t="shared" si="3"/>
        <v>0</v>
      </c>
      <c r="V68" s="559"/>
      <c r="W68" s="559"/>
    </row>
    <row r="69" spans="1:23" ht="19.5" customHeight="1">
      <c r="A69" s="419" t="s">
        <v>452</v>
      </c>
      <c r="B69" s="552" t="s">
        <v>451</v>
      </c>
      <c r="C69" s="460">
        <f t="shared" si="4"/>
        <v>1048846</v>
      </c>
      <c r="D69" s="417">
        <v>1023632</v>
      </c>
      <c r="E69" s="417">
        <v>25214</v>
      </c>
      <c r="F69" s="474"/>
      <c r="G69" s="464"/>
      <c r="H69" s="460">
        <f t="shared" si="13"/>
        <v>1048846</v>
      </c>
      <c r="I69" s="460">
        <f t="shared" si="17"/>
        <v>406047</v>
      </c>
      <c r="J69" s="417">
        <v>26315</v>
      </c>
      <c r="K69" s="471"/>
      <c r="L69" s="471"/>
      <c r="M69" s="417">
        <f>378089-60000</f>
        <v>318089</v>
      </c>
      <c r="N69" s="417">
        <v>0</v>
      </c>
      <c r="O69" s="471"/>
      <c r="P69" s="471"/>
      <c r="Q69" s="417">
        <f>1643+60000</f>
        <v>61643</v>
      </c>
      <c r="R69" s="556">
        <v>642799</v>
      </c>
      <c r="S69" s="465">
        <f t="shared" si="15"/>
        <v>1022531</v>
      </c>
      <c r="T69" s="466">
        <f t="shared" si="1"/>
        <v>6.480776855881215</v>
      </c>
      <c r="U69" s="436">
        <f t="shared" si="3"/>
        <v>0</v>
      </c>
      <c r="V69" s="559"/>
      <c r="W69" s="559"/>
    </row>
    <row r="70" spans="1:23" ht="19.5" customHeight="1">
      <c r="A70" s="419" t="s">
        <v>450</v>
      </c>
      <c r="B70" s="552" t="s">
        <v>449</v>
      </c>
      <c r="C70" s="460">
        <f t="shared" si="4"/>
        <v>5346366</v>
      </c>
      <c r="D70" s="417">
        <v>4057942</v>
      </c>
      <c r="E70" s="417">
        <v>1288424</v>
      </c>
      <c r="F70" s="417"/>
      <c r="G70" s="464"/>
      <c r="H70" s="460">
        <f t="shared" si="13"/>
        <v>5346366</v>
      </c>
      <c r="I70" s="460">
        <f t="shared" si="17"/>
        <v>2766969</v>
      </c>
      <c r="J70" s="417">
        <v>71537</v>
      </c>
      <c r="K70" s="471"/>
      <c r="L70" s="471"/>
      <c r="M70" s="417">
        <v>2654844</v>
      </c>
      <c r="N70" s="417">
        <v>40588</v>
      </c>
      <c r="O70" s="471"/>
      <c r="P70" s="471"/>
      <c r="Q70" s="471"/>
      <c r="R70" s="556">
        <f>1877069+702328</f>
        <v>2579397</v>
      </c>
      <c r="S70" s="465">
        <f t="shared" si="15"/>
        <v>5274829</v>
      </c>
      <c r="T70" s="466">
        <f t="shared" si="1"/>
        <v>2.5853921746141717</v>
      </c>
      <c r="U70" s="436">
        <f t="shared" si="3"/>
        <v>0</v>
      </c>
      <c r="V70" s="559"/>
      <c r="W70" s="559"/>
    </row>
    <row r="71" spans="1:23" ht="19.5" customHeight="1">
      <c r="A71" s="419" t="s">
        <v>448</v>
      </c>
      <c r="B71" s="552" t="s">
        <v>447</v>
      </c>
      <c r="C71" s="460">
        <f t="shared" si="4"/>
        <v>4913210</v>
      </c>
      <c r="D71" s="417">
        <v>4452283</v>
      </c>
      <c r="E71" s="417">
        <v>460927</v>
      </c>
      <c r="F71" s="474"/>
      <c r="G71" s="464"/>
      <c r="H71" s="460">
        <f t="shared" si="13"/>
        <v>4913210</v>
      </c>
      <c r="I71" s="460">
        <f t="shared" si="17"/>
        <v>3771390</v>
      </c>
      <c r="J71" s="417">
        <v>489290</v>
      </c>
      <c r="K71" s="471"/>
      <c r="L71" s="471"/>
      <c r="M71" s="417">
        <v>3282100</v>
      </c>
      <c r="N71" s="471"/>
      <c r="O71" s="471"/>
      <c r="P71" s="471"/>
      <c r="Q71" s="471"/>
      <c r="R71" s="556">
        <v>1141820</v>
      </c>
      <c r="S71" s="465">
        <f t="shared" si="15"/>
        <v>4423920</v>
      </c>
      <c r="T71" s="466">
        <f t="shared" si="1"/>
        <v>12.973731170735459</v>
      </c>
      <c r="U71" s="436">
        <f t="shared" si="3"/>
        <v>0</v>
      </c>
      <c r="V71" s="559"/>
      <c r="W71" s="559"/>
    </row>
    <row r="72" spans="1:23" ht="19.5" customHeight="1">
      <c r="A72" s="419" t="s">
        <v>446</v>
      </c>
      <c r="B72" s="552" t="s">
        <v>445</v>
      </c>
      <c r="C72" s="460">
        <f t="shared" si="4"/>
        <v>7697012</v>
      </c>
      <c r="D72" s="417">
        <v>7049314</v>
      </c>
      <c r="E72" s="417">
        <v>647698</v>
      </c>
      <c r="F72" s="417"/>
      <c r="G72" s="464"/>
      <c r="H72" s="460">
        <f t="shared" si="13"/>
        <v>7697012</v>
      </c>
      <c r="I72" s="460">
        <f t="shared" si="17"/>
        <v>4403365</v>
      </c>
      <c r="J72" s="417">
        <v>126887</v>
      </c>
      <c r="K72" s="471"/>
      <c r="L72" s="471"/>
      <c r="M72" s="417">
        <v>4086058</v>
      </c>
      <c r="N72" s="417">
        <v>7000</v>
      </c>
      <c r="O72" s="471"/>
      <c r="P72" s="471"/>
      <c r="Q72" s="417">
        <v>183420</v>
      </c>
      <c r="R72" s="556">
        <v>3293647</v>
      </c>
      <c r="S72" s="465">
        <f t="shared" si="15"/>
        <v>7570125</v>
      </c>
      <c r="T72" s="466">
        <f>(((J72+K72+L72))/I72)*100</f>
        <v>2.8815916918084237</v>
      </c>
      <c r="U72" s="436">
        <f t="shared" si="3"/>
        <v>0</v>
      </c>
      <c r="V72" s="559"/>
      <c r="W72" s="559"/>
    </row>
    <row r="73" spans="1:20" s="379" customFormat="1" ht="29.25" customHeight="1">
      <c r="A73" s="943"/>
      <c r="B73" s="943"/>
      <c r="C73" s="943"/>
      <c r="D73" s="943"/>
      <c r="E73" s="943"/>
      <c r="F73" s="435"/>
      <c r="G73" s="390"/>
      <c r="H73" s="390"/>
      <c r="I73" s="390"/>
      <c r="J73" s="390"/>
      <c r="K73" s="390"/>
      <c r="L73" s="390"/>
      <c r="M73" s="390"/>
      <c r="N73" s="390"/>
      <c r="O73" s="957" t="str">
        <f>'Thong tin'!B8</f>
        <v>Trà Vinh, ngày 01 tháng 12 năm 2016</v>
      </c>
      <c r="P73" s="957"/>
      <c r="Q73" s="957"/>
      <c r="R73" s="957"/>
      <c r="S73" s="957"/>
      <c r="T73" s="957"/>
    </row>
    <row r="74" spans="1:20" s="416" customFormat="1" ht="19.5" customHeight="1">
      <c r="A74" s="403"/>
      <c r="B74" s="949" t="s">
        <v>4</v>
      </c>
      <c r="C74" s="949"/>
      <c r="D74" s="949"/>
      <c r="E74" s="949"/>
      <c r="F74" s="402"/>
      <c r="G74" s="402"/>
      <c r="H74" s="402"/>
      <c r="I74" s="402"/>
      <c r="J74" s="402"/>
      <c r="K74" s="402"/>
      <c r="L74" s="402"/>
      <c r="M74" s="402"/>
      <c r="N74" s="402"/>
      <c r="O74" s="942" t="str">
        <f>'Thong tin'!B7</f>
        <v>PHÓ CỤC TRƯỞNG</v>
      </c>
      <c r="P74" s="942"/>
      <c r="Q74" s="942"/>
      <c r="R74" s="942"/>
      <c r="S74" s="942"/>
      <c r="T74" s="942"/>
    </row>
    <row r="75" spans="1:20" ht="18.75">
      <c r="A75" s="387"/>
      <c r="B75" s="948"/>
      <c r="C75" s="948"/>
      <c r="D75" s="948"/>
      <c r="E75" s="388"/>
      <c r="F75" s="388"/>
      <c r="G75" s="388"/>
      <c r="H75" s="388"/>
      <c r="I75" s="517"/>
      <c r="J75" s="517"/>
      <c r="K75" s="388"/>
      <c r="L75" s="388"/>
      <c r="M75" s="388"/>
      <c r="N75" s="388"/>
      <c r="O75" s="947"/>
      <c r="P75" s="947"/>
      <c r="Q75" s="947"/>
      <c r="R75" s="947"/>
      <c r="S75" s="947"/>
      <c r="T75" s="947"/>
    </row>
    <row r="76" spans="1:20" ht="18.75">
      <c r="A76" s="387"/>
      <c r="B76" s="387"/>
      <c r="C76" s="387"/>
      <c r="D76" s="388"/>
      <c r="E76" s="388"/>
      <c r="F76" s="388"/>
      <c r="G76" s="388"/>
      <c r="H76" s="388"/>
      <c r="I76" s="517"/>
      <c r="J76" s="388"/>
      <c r="K76" s="388"/>
      <c r="L76" s="388"/>
      <c r="M76" s="388"/>
      <c r="N76" s="388"/>
      <c r="O76" s="388"/>
      <c r="P76" s="388"/>
      <c r="Q76" s="388"/>
      <c r="R76" s="388"/>
      <c r="S76" s="387"/>
      <c r="T76" s="387"/>
    </row>
    <row r="77" spans="1:20" ht="15.75">
      <c r="A77" s="386"/>
      <c r="B77" s="965"/>
      <c r="C77" s="965"/>
      <c r="D77" s="965"/>
      <c r="E77" s="414"/>
      <c r="F77" s="414"/>
      <c r="G77" s="414"/>
      <c r="H77" s="414"/>
      <c r="I77" s="414"/>
      <c r="J77" s="414"/>
      <c r="K77" s="414"/>
      <c r="L77" s="414"/>
      <c r="M77" s="414"/>
      <c r="N77" s="414"/>
      <c r="O77" s="414"/>
      <c r="P77" s="414"/>
      <c r="Q77" s="965"/>
      <c r="R77" s="965"/>
      <c r="S77" s="965"/>
      <c r="T77" s="386"/>
    </row>
    <row r="78" spans="1:20" ht="15.75" customHeight="1">
      <c r="A78" s="415"/>
      <c r="B78" s="386"/>
      <c r="C78" s="386"/>
      <c r="D78" s="414"/>
      <c r="E78" s="414"/>
      <c r="F78" s="414"/>
      <c r="G78" s="414"/>
      <c r="H78" s="414"/>
      <c r="I78" s="414"/>
      <c r="J78" s="414"/>
      <c r="K78" s="414"/>
      <c r="L78" s="414"/>
      <c r="M78" s="414"/>
      <c r="N78" s="414"/>
      <c r="O78" s="414"/>
      <c r="P78" s="414"/>
      <c r="Q78" s="414"/>
      <c r="R78" s="414"/>
      <c r="S78" s="386"/>
      <c r="T78" s="386"/>
    </row>
    <row r="79" spans="1:20" ht="15.75" customHeight="1">
      <c r="A79" s="386"/>
      <c r="B79" s="968"/>
      <c r="C79" s="968"/>
      <c r="D79" s="968"/>
      <c r="E79" s="968"/>
      <c r="F79" s="968"/>
      <c r="G79" s="968"/>
      <c r="H79" s="968"/>
      <c r="I79" s="968"/>
      <c r="J79" s="968"/>
      <c r="K79" s="968"/>
      <c r="L79" s="968"/>
      <c r="M79" s="968"/>
      <c r="N79" s="968"/>
      <c r="O79" s="968"/>
      <c r="P79" s="968"/>
      <c r="Q79" s="414"/>
      <c r="R79" s="414"/>
      <c r="S79" s="386"/>
      <c r="T79" s="386"/>
    </row>
    <row r="80" spans="1:20" ht="15.75">
      <c r="A80" s="413"/>
      <c r="B80" s="413"/>
      <c r="C80" s="413"/>
      <c r="D80" s="413"/>
      <c r="E80" s="413"/>
      <c r="F80" s="413"/>
      <c r="G80" s="413"/>
      <c r="H80" s="413"/>
      <c r="I80" s="413"/>
      <c r="J80" s="413"/>
      <c r="K80" s="413"/>
      <c r="L80" s="413"/>
      <c r="M80" s="413"/>
      <c r="N80" s="413"/>
      <c r="O80" s="413"/>
      <c r="P80" s="413"/>
      <c r="Q80" s="413"/>
      <c r="R80" s="386"/>
      <c r="S80" s="386"/>
      <c r="T80" s="386"/>
    </row>
    <row r="81" spans="1:20" ht="18.75">
      <c r="A81" s="386"/>
      <c r="B81" s="939" t="str">
        <f>'Thong tin'!B5</f>
        <v>Nhan Quốc Hải</v>
      </c>
      <c r="C81" s="939"/>
      <c r="D81" s="939"/>
      <c r="E81" s="939"/>
      <c r="F81" s="386"/>
      <c r="G81" s="386"/>
      <c r="H81" s="386"/>
      <c r="I81" s="386"/>
      <c r="J81" s="386"/>
      <c r="K81" s="386"/>
      <c r="L81" s="386"/>
      <c r="M81" s="386"/>
      <c r="N81" s="386"/>
      <c r="O81" s="939" t="str">
        <f>'Thong tin'!B6</f>
        <v>Trần Việt Hồng</v>
      </c>
      <c r="P81" s="939"/>
      <c r="Q81" s="939"/>
      <c r="R81" s="939"/>
      <c r="S81" s="939"/>
      <c r="T81" s="939"/>
    </row>
    <row r="82" spans="2:20" ht="18.75">
      <c r="B82" s="966"/>
      <c r="C82" s="966"/>
      <c r="D82" s="966"/>
      <c r="E82" s="966"/>
      <c r="P82" s="966"/>
      <c r="Q82" s="966"/>
      <c r="R82" s="966"/>
      <c r="S82" s="966"/>
      <c r="T82" s="967"/>
    </row>
  </sheetData>
  <sheetProtection/>
  <mergeCells count="39">
    <mergeCell ref="A3:D3"/>
    <mergeCell ref="A73:E73"/>
    <mergeCell ref="Q77:S77"/>
    <mergeCell ref="B77:D77"/>
    <mergeCell ref="B82:E82"/>
    <mergeCell ref="P82:T82"/>
    <mergeCell ref="B81:E81"/>
    <mergeCell ref="B79:P79"/>
    <mergeCell ref="A11:B11"/>
    <mergeCell ref="A6:B9"/>
    <mergeCell ref="A2:D2"/>
    <mergeCell ref="Q2:T2"/>
    <mergeCell ref="Q4:T4"/>
    <mergeCell ref="O75:T75"/>
    <mergeCell ref="B75:D75"/>
    <mergeCell ref="O74:T74"/>
    <mergeCell ref="T6:T9"/>
    <mergeCell ref="I7:Q7"/>
    <mergeCell ref="O73:T73"/>
    <mergeCell ref="S6:S9"/>
    <mergeCell ref="Q5:T5"/>
    <mergeCell ref="D7:E7"/>
    <mergeCell ref="D8:D9"/>
    <mergeCell ref="E8:E9"/>
    <mergeCell ref="E1:P1"/>
    <mergeCell ref="E2:P2"/>
    <mergeCell ref="E3:P3"/>
    <mergeCell ref="F6:F9"/>
    <mergeCell ref="G6:G9"/>
    <mergeCell ref="H6:R6"/>
    <mergeCell ref="O81:T81"/>
    <mergeCell ref="C6:E6"/>
    <mergeCell ref="C7:C9"/>
    <mergeCell ref="B74:E74"/>
    <mergeCell ref="A10:B10"/>
    <mergeCell ref="R7:R9"/>
    <mergeCell ref="I8:I9"/>
    <mergeCell ref="J8:Q8"/>
    <mergeCell ref="H7:H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25" t="s">
        <v>29</v>
      </c>
      <c r="B1" s="625"/>
      <c r="C1" s="625"/>
      <c r="D1" s="625"/>
      <c r="E1" s="624" t="s">
        <v>372</v>
      </c>
      <c r="F1" s="624"/>
      <c r="G1" s="624"/>
      <c r="H1" s="624"/>
      <c r="I1" s="624"/>
      <c r="J1" s="624"/>
      <c r="K1" s="624"/>
      <c r="L1" s="31" t="s">
        <v>348</v>
      </c>
      <c r="M1" s="31"/>
      <c r="N1" s="31"/>
      <c r="O1" s="32"/>
      <c r="P1" s="32"/>
    </row>
    <row r="2" spans="1:16" ht="15.75" customHeight="1">
      <c r="A2" s="611" t="s">
        <v>242</v>
      </c>
      <c r="B2" s="611"/>
      <c r="C2" s="611"/>
      <c r="D2" s="611"/>
      <c r="E2" s="624"/>
      <c r="F2" s="624"/>
      <c r="G2" s="624"/>
      <c r="H2" s="624"/>
      <c r="I2" s="624"/>
      <c r="J2" s="624"/>
      <c r="K2" s="624"/>
      <c r="L2" s="619" t="s">
        <v>251</v>
      </c>
      <c r="M2" s="619"/>
      <c r="N2" s="619"/>
      <c r="O2" s="35"/>
      <c r="P2" s="32"/>
    </row>
    <row r="3" spans="1:16" ht="18" customHeight="1">
      <c r="A3" s="611" t="s">
        <v>243</v>
      </c>
      <c r="B3" s="611"/>
      <c r="C3" s="611"/>
      <c r="D3" s="611"/>
      <c r="E3" s="612" t="s">
        <v>368</v>
      </c>
      <c r="F3" s="612"/>
      <c r="G3" s="612"/>
      <c r="H3" s="612"/>
      <c r="I3" s="612"/>
      <c r="J3" s="612"/>
      <c r="K3" s="36"/>
      <c r="L3" s="620" t="s">
        <v>367</v>
      </c>
      <c r="M3" s="620"/>
      <c r="N3" s="620"/>
      <c r="O3" s="32"/>
      <c r="P3" s="32"/>
    </row>
    <row r="4" spans="1:16" ht="21" customHeight="1">
      <c r="A4" s="623" t="s">
        <v>254</v>
      </c>
      <c r="B4" s="623"/>
      <c r="C4" s="623"/>
      <c r="D4" s="623"/>
      <c r="E4" s="39"/>
      <c r="F4" s="40"/>
      <c r="G4" s="41"/>
      <c r="H4" s="41"/>
      <c r="I4" s="41"/>
      <c r="J4" s="41"/>
      <c r="K4" s="32"/>
      <c r="L4" s="619" t="s">
        <v>249</v>
      </c>
      <c r="M4" s="619"/>
      <c r="N4" s="619"/>
      <c r="O4" s="35"/>
      <c r="P4" s="32"/>
    </row>
    <row r="5" spans="1:16" ht="18" customHeight="1">
      <c r="A5" s="41"/>
      <c r="B5" s="32"/>
      <c r="C5" s="42"/>
      <c r="D5" s="621"/>
      <c r="E5" s="621"/>
      <c r="F5" s="621"/>
      <c r="G5" s="621"/>
      <c r="H5" s="621"/>
      <c r="I5" s="621"/>
      <c r="J5" s="621"/>
      <c r="K5" s="621"/>
      <c r="L5" s="43" t="s">
        <v>255</v>
      </c>
      <c r="M5" s="43"/>
      <c r="N5" s="43"/>
      <c r="O5" s="32"/>
      <c r="P5" s="32"/>
    </row>
    <row r="6" spans="1:18" ht="33" customHeight="1">
      <c r="A6" s="629" t="s">
        <v>57</v>
      </c>
      <c r="B6" s="630"/>
      <c r="C6" s="622" t="s">
        <v>256</v>
      </c>
      <c r="D6" s="622"/>
      <c r="E6" s="622"/>
      <c r="F6" s="622"/>
      <c r="G6" s="598" t="s">
        <v>7</v>
      </c>
      <c r="H6" s="599"/>
      <c r="I6" s="599"/>
      <c r="J6" s="599"/>
      <c r="K6" s="599"/>
      <c r="L6" s="599"/>
      <c r="M6" s="599"/>
      <c r="N6" s="600"/>
      <c r="O6" s="603" t="s">
        <v>257</v>
      </c>
      <c r="P6" s="604"/>
      <c r="Q6" s="604"/>
      <c r="R6" s="605"/>
    </row>
    <row r="7" spans="1:18" ht="29.25" customHeight="1">
      <c r="A7" s="631"/>
      <c r="B7" s="632"/>
      <c r="C7" s="622"/>
      <c r="D7" s="622"/>
      <c r="E7" s="622"/>
      <c r="F7" s="622"/>
      <c r="G7" s="598" t="s">
        <v>258</v>
      </c>
      <c r="H7" s="599"/>
      <c r="I7" s="599"/>
      <c r="J7" s="600"/>
      <c r="K7" s="598" t="s">
        <v>92</v>
      </c>
      <c r="L7" s="599"/>
      <c r="M7" s="599"/>
      <c r="N7" s="600"/>
      <c r="O7" s="45" t="s">
        <v>259</v>
      </c>
      <c r="P7" s="45" t="s">
        <v>260</v>
      </c>
      <c r="Q7" s="606" t="s">
        <v>261</v>
      </c>
      <c r="R7" s="606" t="s">
        <v>262</v>
      </c>
    </row>
    <row r="8" spans="1:18" ht="26.25" customHeight="1">
      <c r="A8" s="631"/>
      <c r="B8" s="632"/>
      <c r="C8" s="601" t="s">
        <v>89</v>
      </c>
      <c r="D8" s="628"/>
      <c r="E8" s="601" t="s">
        <v>88</v>
      </c>
      <c r="F8" s="628"/>
      <c r="G8" s="601" t="s">
        <v>90</v>
      </c>
      <c r="H8" s="602"/>
      <c r="I8" s="601" t="s">
        <v>91</v>
      </c>
      <c r="J8" s="602"/>
      <c r="K8" s="601" t="s">
        <v>93</v>
      </c>
      <c r="L8" s="602"/>
      <c r="M8" s="601" t="s">
        <v>94</v>
      </c>
      <c r="N8" s="602"/>
      <c r="O8" s="608" t="s">
        <v>263</v>
      </c>
      <c r="P8" s="609" t="s">
        <v>264</v>
      </c>
      <c r="Q8" s="606"/>
      <c r="R8" s="606"/>
    </row>
    <row r="9" spans="1:18" ht="30.75" customHeight="1">
      <c r="A9" s="631"/>
      <c r="B9" s="632"/>
      <c r="C9" s="46" t="s">
        <v>3</v>
      </c>
      <c r="D9" s="44" t="s">
        <v>9</v>
      </c>
      <c r="E9" s="44" t="s">
        <v>3</v>
      </c>
      <c r="F9" s="44" t="s">
        <v>9</v>
      </c>
      <c r="G9" s="47" t="s">
        <v>3</v>
      </c>
      <c r="H9" s="47" t="s">
        <v>9</v>
      </c>
      <c r="I9" s="47" t="s">
        <v>3</v>
      </c>
      <c r="J9" s="47" t="s">
        <v>9</v>
      </c>
      <c r="K9" s="47" t="s">
        <v>3</v>
      </c>
      <c r="L9" s="47" t="s">
        <v>9</v>
      </c>
      <c r="M9" s="47" t="s">
        <v>3</v>
      </c>
      <c r="N9" s="47" t="s">
        <v>9</v>
      </c>
      <c r="O9" s="608"/>
      <c r="P9" s="610"/>
      <c r="Q9" s="607"/>
      <c r="R9" s="607"/>
    </row>
    <row r="10" spans="1:18" s="52" customFormat="1" ht="18" customHeight="1">
      <c r="A10" s="615" t="s">
        <v>6</v>
      </c>
      <c r="B10" s="615"/>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17" t="s">
        <v>265</v>
      </c>
      <c r="B11" s="618"/>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35" t="s">
        <v>369</v>
      </c>
      <c r="B12" s="636"/>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33" t="s">
        <v>31</v>
      </c>
      <c r="B13" s="634"/>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266</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267</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268</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269</v>
      </c>
    </row>
    <row r="18" spans="1:18" s="70" customFormat="1" ht="18" customHeight="1">
      <c r="A18" s="66" t="s">
        <v>49</v>
      </c>
      <c r="B18" s="67" t="s">
        <v>270</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271</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272</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273</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274</v>
      </c>
      <c r="AK21" s="52" t="s">
        <v>275</v>
      </c>
      <c r="AL21" s="52" t="s">
        <v>276</v>
      </c>
      <c r="AM21" s="63" t="s">
        <v>277</v>
      </c>
    </row>
    <row r="22" spans="1:39" s="52" customFormat="1" ht="18" customHeight="1">
      <c r="A22" s="66" t="s">
        <v>61</v>
      </c>
      <c r="B22" s="67" t="s">
        <v>278</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279</v>
      </c>
    </row>
    <row r="23" spans="1:18" s="52" customFormat="1" ht="18" customHeight="1">
      <c r="A23" s="66" t="s">
        <v>62</v>
      </c>
      <c r="B23" s="67" t="s">
        <v>280</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281</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274</v>
      </c>
    </row>
    <row r="25" spans="1:36" s="52" customFormat="1" ht="18" customHeight="1">
      <c r="A25" s="66" t="s">
        <v>83</v>
      </c>
      <c r="B25" s="67" t="s">
        <v>282</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283</v>
      </c>
    </row>
    <row r="26" spans="1:44" s="52" customFormat="1" ht="18" customHeight="1">
      <c r="A26" s="66" t="s">
        <v>84</v>
      </c>
      <c r="B26" s="67" t="s">
        <v>284</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16" t="s">
        <v>370</v>
      </c>
      <c r="C28" s="616"/>
      <c r="D28" s="616"/>
      <c r="E28" s="616"/>
      <c r="F28" s="75"/>
      <c r="G28" s="76"/>
      <c r="H28" s="76"/>
      <c r="I28" s="76"/>
      <c r="J28" s="616" t="s">
        <v>371</v>
      </c>
      <c r="K28" s="616"/>
      <c r="L28" s="616"/>
      <c r="M28" s="616"/>
      <c r="N28" s="616"/>
      <c r="O28" s="77"/>
      <c r="P28" s="77"/>
      <c r="AG28" s="78" t="s">
        <v>286</v>
      </c>
      <c r="AI28" s="79">
        <f>82/88</f>
        <v>0.9318181818181818</v>
      </c>
    </row>
    <row r="29" spans="1:16" s="85" customFormat="1" ht="19.5" customHeight="1">
      <c r="A29" s="80"/>
      <c r="B29" s="595" t="s">
        <v>35</v>
      </c>
      <c r="C29" s="595"/>
      <c r="D29" s="595"/>
      <c r="E29" s="595"/>
      <c r="F29" s="82"/>
      <c r="G29" s="83"/>
      <c r="H29" s="83"/>
      <c r="I29" s="83"/>
      <c r="J29" s="595" t="s">
        <v>287</v>
      </c>
      <c r="K29" s="595"/>
      <c r="L29" s="595"/>
      <c r="M29" s="595"/>
      <c r="N29" s="595"/>
      <c r="O29" s="84"/>
      <c r="P29" s="84"/>
    </row>
    <row r="30" spans="1:16" s="85" customFormat="1" ht="19.5" customHeight="1">
      <c r="A30" s="80"/>
      <c r="B30" s="613"/>
      <c r="C30" s="613"/>
      <c r="D30" s="613"/>
      <c r="E30" s="82"/>
      <c r="F30" s="82"/>
      <c r="G30" s="83"/>
      <c r="H30" s="83"/>
      <c r="I30" s="83"/>
      <c r="J30" s="614"/>
      <c r="K30" s="614"/>
      <c r="L30" s="614"/>
      <c r="M30" s="614"/>
      <c r="N30" s="614"/>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97" t="s">
        <v>288</v>
      </c>
      <c r="C32" s="597"/>
      <c r="D32" s="597"/>
      <c r="E32" s="597"/>
      <c r="F32" s="87"/>
      <c r="G32" s="88"/>
      <c r="H32" s="88"/>
      <c r="I32" s="88"/>
      <c r="J32" s="596" t="s">
        <v>288</v>
      </c>
      <c r="K32" s="596"/>
      <c r="L32" s="596"/>
      <c r="M32" s="596"/>
      <c r="N32" s="596"/>
      <c r="O32" s="84"/>
      <c r="P32" s="84"/>
    </row>
    <row r="33" spans="1:16" s="85" customFormat="1" ht="19.5" customHeight="1">
      <c r="A33" s="80"/>
      <c r="B33" s="595" t="s">
        <v>289</v>
      </c>
      <c r="C33" s="595"/>
      <c r="D33" s="595"/>
      <c r="E33" s="595"/>
      <c r="F33" s="82"/>
      <c r="G33" s="83"/>
      <c r="H33" s="83"/>
      <c r="I33" s="83"/>
      <c r="J33" s="81"/>
      <c r="K33" s="595" t="s">
        <v>289</v>
      </c>
      <c r="L33" s="595"/>
      <c r="M33" s="595"/>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26" t="s">
        <v>245</v>
      </c>
      <c r="C36" s="626"/>
      <c r="D36" s="626"/>
      <c r="E36" s="626"/>
      <c r="F36" s="91"/>
      <c r="G36" s="91"/>
      <c r="H36" s="91"/>
      <c r="I36" s="91"/>
      <c r="J36" s="627" t="s">
        <v>246</v>
      </c>
      <c r="K36" s="627"/>
      <c r="L36" s="627"/>
      <c r="M36" s="627"/>
      <c r="N36" s="627"/>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37" t="s">
        <v>26</v>
      </c>
      <c r="B1" s="637"/>
      <c r="C1" s="98"/>
      <c r="D1" s="644" t="s">
        <v>349</v>
      </c>
      <c r="E1" s="644"/>
      <c r="F1" s="644"/>
      <c r="G1" s="644"/>
      <c r="H1" s="644"/>
      <c r="I1" s="644"/>
      <c r="J1" s="644"/>
      <c r="K1" s="644"/>
      <c r="L1" s="644"/>
      <c r="M1" s="662" t="s">
        <v>290</v>
      </c>
      <c r="N1" s="663"/>
      <c r="O1" s="663"/>
      <c r="P1" s="663"/>
    </row>
    <row r="2" spans="1:16" s="42" customFormat="1" ht="34.5" customHeight="1">
      <c r="A2" s="643" t="s">
        <v>291</v>
      </c>
      <c r="B2" s="643"/>
      <c r="C2" s="643"/>
      <c r="D2" s="644"/>
      <c r="E2" s="644"/>
      <c r="F2" s="644"/>
      <c r="G2" s="644"/>
      <c r="H2" s="644"/>
      <c r="I2" s="644"/>
      <c r="J2" s="644"/>
      <c r="K2" s="644"/>
      <c r="L2" s="644"/>
      <c r="M2" s="664" t="s">
        <v>350</v>
      </c>
      <c r="N2" s="665"/>
      <c r="O2" s="665"/>
      <c r="P2" s="665"/>
    </row>
    <row r="3" spans="1:16" s="42" customFormat="1" ht="19.5" customHeight="1">
      <c r="A3" s="642" t="s">
        <v>292</v>
      </c>
      <c r="B3" s="642"/>
      <c r="C3" s="642"/>
      <c r="D3" s="644"/>
      <c r="E3" s="644"/>
      <c r="F3" s="644"/>
      <c r="G3" s="644"/>
      <c r="H3" s="644"/>
      <c r="I3" s="644"/>
      <c r="J3" s="644"/>
      <c r="K3" s="644"/>
      <c r="L3" s="644"/>
      <c r="M3" s="664" t="s">
        <v>293</v>
      </c>
      <c r="N3" s="665"/>
      <c r="O3" s="665"/>
      <c r="P3" s="665"/>
    </row>
    <row r="4" spans="1:16" s="103" customFormat="1" ht="18.75" customHeight="1">
      <c r="A4" s="99"/>
      <c r="B4" s="99"/>
      <c r="C4" s="100"/>
      <c r="D4" s="621"/>
      <c r="E4" s="621"/>
      <c r="F4" s="621"/>
      <c r="G4" s="621"/>
      <c r="H4" s="621"/>
      <c r="I4" s="621"/>
      <c r="J4" s="621"/>
      <c r="K4" s="621"/>
      <c r="L4" s="621"/>
      <c r="M4" s="101" t="s">
        <v>294</v>
      </c>
      <c r="N4" s="102"/>
      <c r="O4" s="102"/>
      <c r="P4" s="102"/>
    </row>
    <row r="5" spans="1:16" ht="49.5" customHeight="1">
      <c r="A5" s="651" t="s">
        <v>57</v>
      </c>
      <c r="B5" s="652"/>
      <c r="C5" s="639" t="s">
        <v>82</v>
      </c>
      <c r="D5" s="640"/>
      <c r="E5" s="640"/>
      <c r="F5" s="640"/>
      <c r="G5" s="640"/>
      <c r="H5" s="640"/>
      <c r="I5" s="640"/>
      <c r="J5" s="640"/>
      <c r="K5" s="638" t="s">
        <v>81</v>
      </c>
      <c r="L5" s="638"/>
      <c r="M5" s="638"/>
      <c r="N5" s="638"/>
      <c r="O5" s="638"/>
      <c r="P5" s="638"/>
    </row>
    <row r="6" spans="1:16" ht="20.25" customHeight="1">
      <c r="A6" s="653"/>
      <c r="B6" s="654"/>
      <c r="C6" s="639" t="s">
        <v>3</v>
      </c>
      <c r="D6" s="640"/>
      <c r="E6" s="640"/>
      <c r="F6" s="641"/>
      <c r="G6" s="638" t="s">
        <v>9</v>
      </c>
      <c r="H6" s="638"/>
      <c r="I6" s="638"/>
      <c r="J6" s="638"/>
      <c r="K6" s="666" t="s">
        <v>3</v>
      </c>
      <c r="L6" s="666"/>
      <c r="M6" s="666"/>
      <c r="N6" s="659" t="s">
        <v>9</v>
      </c>
      <c r="O6" s="659"/>
      <c r="P6" s="659"/>
    </row>
    <row r="7" spans="1:16" ht="52.5" customHeight="1">
      <c r="A7" s="653"/>
      <c r="B7" s="654"/>
      <c r="C7" s="657" t="s">
        <v>295</v>
      </c>
      <c r="D7" s="640" t="s">
        <v>78</v>
      </c>
      <c r="E7" s="640"/>
      <c r="F7" s="641"/>
      <c r="G7" s="638" t="s">
        <v>296</v>
      </c>
      <c r="H7" s="638" t="s">
        <v>78</v>
      </c>
      <c r="I7" s="638"/>
      <c r="J7" s="638"/>
      <c r="K7" s="638" t="s">
        <v>32</v>
      </c>
      <c r="L7" s="638" t="s">
        <v>79</v>
      </c>
      <c r="M7" s="638"/>
      <c r="N7" s="638" t="s">
        <v>64</v>
      </c>
      <c r="O7" s="638" t="s">
        <v>79</v>
      </c>
      <c r="P7" s="638"/>
    </row>
    <row r="8" spans="1:16" ht="15.75" customHeight="1">
      <c r="A8" s="653"/>
      <c r="B8" s="654"/>
      <c r="C8" s="657"/>
      <c r="D8" s="638" t="s">
        <v>36</v>
      </c>
      <c r="E8" s="638" t="s">
        <v>37</v>
      </c>
      <c r="F8" s="638" t="s">
        <v>40</v>
      </c>
      <c r="G8" s="638"/>
      <c r="H8" s="638" t="s">
        <v>36</v>
      </c>
      <c r="I8" s="638" t="s">
        <v>37</v>
      </c>
      <c r="J8" s="638" t="s">
        <v>40</v>
      </c>
      <c r="K8" s="638"/>
      <c r="L8" s="638" t="s">
        <v>14</v>
      </c>
      <c r="M8" s="638" t="s">
        <v>13</v>
      </c>
      <c r="N8" s="638"/>
      <c r="O8" s="638" t="s">
        <v>14</v>
      </c>
      <c r="P8" s="638" t="s">
        <v>13</v>
      </c>
    </row>
    <row r="9" spans="1:16" ht="44.25" customHeight="1">
      <c r="A9" s="655"/>
      <c r="B9" s="656"/>
      <c r="C9" s="658"/>
      <c r="D9" s="638"/>
      <c r="E9" s="638"/>
      <c r="F9" s="638"/>
      <c r="G9" s="638"/>
      <c r="H9" s="638"/>
      <c r="I9" s="638"/>
      <c r="J9" s="638"/>
      <c r="K9" s="638"/>
      <c r="L9" s="638"/>
      <c r="M9" s="638"/>
      <c r="N9" s="638"/>
      <c r="O9" s="638"/>
      <c r="P9" s="638"/>
    </row>
    <row r="10" spans="1:16" ht="15" customHeight="1">
      <c r="A10" s="649" t="s">
        <v>6</v>
      </c>
      <c r="B10" s="650"/>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60" t="s">
        <v>297</v>
      </c>
      <c r="B11" s="661"/>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45" t="s">
        <v>298</v>
      </c>
      <c r="B12" s="646"/>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47" t="s">
        <v>33</v>
      </c>
      <c r="B13" s="648"/>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266</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267</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299</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269</v>
      </c>
    </row>
    <row r="18" spans="1:16" s="42" customFormat="1" ht="15" customHeight="1">
      <c r="A18" s="116" t="s">
        <v>49</v>
      </c>
      <c r="B18" s="117" t="s">
        <v>270</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271</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272</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273</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274</v>
      </c>
      <c r="AK21" s="42" t="s">
        <v>275</v>
      </c>
      <c r="AL21" s="42" t="s">
        <v>276</v>
      </c>
      <c r="AM21" s="113" t="s">
        <v>277</v>
      </c>
    </row>
    <row r="22" spans="1:39" s="42" customFormat="1" ht="15" customHeight="1">
      <c r="A22" s="116" t="s">
        <v>61</v>
      </c>
      <c r="B22" s="117" t="s">
        <v>278</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279</v>
      </c>
    </row>
    <row r="23" spans="1:16" s="42" customFormat="1" ht="15" customHeight="1">
      <c r="A23" s="116" t="s">
        <v>62</v>
      </c>
      <c r="B23" s="117" t="s">
        <v>280</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281</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274</v>
      </c>
    </row>
    <row r="25" spans="1:36" s="42" customFormat="1" ht="15" customHeight="1">
      <c r="A25" s="116" t="s">
        <v>83</v>
      </c>
      <c r="B25" s="117" t="s">
        <v>282</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283</v>
      </c>
    </row>
    <row r="26" spans="1:44" s="42" customFormat="1" ht="15" customHeight="1">
      <c r="A26" s="116" t="s">
        <v>84</v>
      </c>
      <c r="B26" s="117" t="s">
        <v>284</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72" t="s">
        <v>351</v>
      </c>
      <c r="C28" s="673"/>
      <c r="D28" s="673"/>
      <c r="E28" s="673"/>
      <c r="F28" s="123"/>
      <c r="G28" s="123"/>
      <c r="H28" s="123"/>
      <c r="I28" s="123"/>
      <c r="J28" s="123"/>
      <c r="K28" s="667" t="s">
        <v>352</v>
      </c>
      <c r="L28" s="667"/>
      <c r="M28" s="667"/>
      <c r="N28" s="667"/>
      <c r="O28" s="667"/>
      <c r="P28" s="667"/>
      <c r="AG28" s="73" t="s">
        <v>286</v>
      </c>
      <c r="AI28" s="113">
        <f>82/88</f>
        <v>0.9318181818181818</v>
      </c>
    </row>
    <row r="29" spans="2:16" ht="16.5">
      <c r="B29" s="673"/>
      <c r="C29" s="673"/>
      <c r="D29" s="673"/>
      <c r="E29" s="673"/>
      <c r="F29" s="123"/>
      <c r="G29" s="123"/>
      <c r="H29" s="123"/>
      <c r="I29" s="123"/>
      <c r="J29" s="123"/>
      <c r="K29" s="667"/>
      <c r="L29" s="667"/>
      <c r="M29" s="667"/>
      <c r="N29" s="667"/>
      <c r="O29" s="667"/>
      <c r="P29" s="667"/>
    </row>
    <row r="30" spans="2:16" ht="21" customHeight="1">
      <c r="B30" s="673"/>
      <c r="C30" s="673"/>
      <c r="D30" s="673"/>
      <c r="E30" s="673"/>
      <c r="F30" s="123"/>
      <c r="G30" s="123"/>
      <c r="H30" s="123"/>
      <c r="I30" s="123"/>
      <c r="J30" s="123"/>
      <c r="K30" s="667"/>
      <c r="L30" s="667"/>
      <c r="M30" s="667"/>
      <c r="N30" s="667"/>
      <c r="O30" s="667"/>
      <c r="P30" s="667"/>
    </row>
    <row r="32" spans="2:16" ht="16.5" customHeight="1">
      <c r="B32" s="675" t="s">
        <v>289</v>
      </c>
      <c r="C32" s="675"/>
      <c r="D32" s="675"/>
      <c r="E32" s="124"/>
      <c r="F32" s="124"/>
      <c r="G32" s="124"/>
      <c r="H32" s="124"/>
      <c r="I32" s="124"/>
      <c r="J32" s="124"/>
      <c r="K32" s="674" t="s">
        <v>353</v>
      </c>
      <c r="L32" s="674"/>
      <c r="M32" s="674"/>
      <c r="N32" s="674"/>
      <c r="O32" s="674"/>
      <c r="P32" s="674"/>
    </row>
    <row r="33" ht="12.75" customHeight="1"/>
    <row r="34" spans="2:5" ht="15.75">
      <c r="B34" s="125"/>
      <c r="C34" s="125"/>
      <c r="D34" s="125"/>
      <c r="E34" s="125"/>
    </row>
    <row r="35" ht="15.75" hidden="1"/>
    <row r="36" spans="2:16" ht="15.75">
      <c r="B36" s="670" t="s">
        <v>245</v>
      </c>
      <c r="C36" s="670"/>
      <c r="D36" s="670"/>
      <c r="E36" s="670"/>
      <c r="F36" s="126"/>
      <c r="G36" s="126"/>
      <c r="H36" s="126"/>
      <c r="I36" s="126"/>
      <c r="K36" s="671" t="s">
        <v>246</v>
      </c>
      <c r="L36" s="671"/>
      <c r="M36" s="671"/>
      <c r="N36" s="671"/>
      <c r="O36" s="671"/>
      <c r="P36" s="671"/>
    </row>
    <row r="39" ht="15.75">
      <c r="A39" s="128" t="s">
        <v>41</v>
      </c>
    </row>
    <row r="40" spans="1:6" ht="15.75">
      <c r="A40" s="129"/>
      <c r="B40" s="130" t="s">
        <v>50</v>
      </c>
      <c r="C40" s="130"/>
      <c r="D40" s="130"/>
      <c r="E40" s="130"/>
      <c r="F40" s="130"/>
    </row>
    <row r="41" spans="1:14" ht="15.75" customHeight="1">
      <c r="A41" s="131" t="s">
        <v>25</v>
      </c>
      <c r="B41" s="669" t="s">
        <v>53</v>
      </c>
      <c r="C41" s="669"/>
      <c r="D41" s="669"/>
      <c r="E41" s="669"/>
      <c r="F41" s="669"/>
      <c r="G41" s="131"/>
      <c r="H41" s="131"/>
      <c r="I41" s="131"/>
      <c r="J41" s="131"/>
      <c r="K41" s="131"/>
      <c r="L41" s="131"/>
      <c r="M41" s="131"/>
      <c r="N41" s="131"/>
    </row>
    <row r="42" spans="1:14" ht="15" customHeight="1">
      <c r="A42" s="131"/>
      <c r="B42" s="668" t="s">
        <v>54</v>
      </c>
      <c r="C42" s="668"/>
      <c r="D42" s="668"/>
      <c r="E42" s="668"/>
      <c r="F42" s="668"/>
      <c r="G42" s="668"/>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25" t="s">
        <v>99</v>
      </c>
      <c r="B1" s="625"/>
      <c r="C1" s="625"/>
      <c r="D1" s="679" t="s">
        <v>354</v>
      </c>
      <c r="E1" s="679"/>
      <c r="F1" s="679"/>
      <c r="G1" s="679"/>
      <c r="H1" s="679"/>
      <c r="I1" s="679"/>
      <c r="J1" s="688" t="s">
        <v>355</v>
      </c>
      <c r="K1" s="689"/>
      <c r="L1" s="689"/>
    </row>
    <row r="2" spans="1:13" ht="15.75" customHeight="1">
      <c r="A2" s="690" t="s">
        <v>300</v>
      </c>
      <c r="B2" s="690"/>
      <c r="C2" s="690"/>
      <c r="D2" s="679"/>
      <c r="E2" s="679"/>
      <c r="F2" s="679"/>
      <c r="G2" s="679"/>
      <c r="H2" s="679"/>
      <c r="I2" s="679"/>
      <c r="J2" s="689" t="s">
        <v>301</v>
      </c>
      <c r="K2" s="689"/>
      <c r="L2" s="689"/>
      <c r="M2" s="133"/>
    </row>
    <row r="3" spans="1:13" ht="15.75" customHeight="1">
      <c r="A3" s="611" t="s">
        <v>252</v>
      </c>
      <c r="B3" s="611"/>
      <c r="C3" s="611"/>
      <c r="D3" s="679"/>
      <c r="E3" s="679"/>
      <c r="F3" s="679"/>
      <c r="G3" s="679"/>
      <c r="H3" s="679"/>
      <c r="I3" s="679"/>
      <c r="J3" s="688" t="s">
        <v>356</v>
      </c>
      <c r="K3" s="688"/>
      <c r="L3" s="688"/>
      <c r="M3" s="37"/>
    </row>
    <row r="4" spans="1:13" ht="15.75" customHeight="1">
      <c r="A4" s="686" t="s">
        <v>254</v>
      </c>
      <c r="B4" s="686"/>
      <c r="C4" s="686"/>
      <c r="D4" s="681"/>
      <c r="E4" s="681"/>
      <c r="F4" s="681"/>
      <c r="G4" s="681"/>
      <c r="H4" s="681"/>
      <c r="I4" s="681"/>
      <c r="J4" s="689" t="s">
        <v>302</v>
      </c>
      <c r="K4" s="689"/>
      <c r="L4" s="689"/>
      <c r="M4" s="133"/>
    </row>
    <row r="5" spans="1:13" ht="15.75">
      <c r="A5" s="134"/>
      <c r="B5" s="134"/>
      <c r="C5" s="34"/>
      <c r="D5" s="34"/>
      <c r="E5" s="34"/>
      <c r="F5" s="34"/>
      <c r="G5" s="34"/>
      <c r="H5" s="34"/>
      <c r="I5" s="34"/>
      <c r="J5" s="680" t="s">
        <v>8</v>
      </c>
      <c r="K5" s="680"/>
      <c r="L5" s="680"/>
      <c r="M5" s="133"/>
    </row>
    <row r="6" spans="1:14" ht="15.75">
      <c r="A6" s="693" t="s">
        <v>57</v>
      </c>
      <c r="B6" s="694"/>
      <c r="C6" s="638" t="s">
        <v>303</v>
      </c>
      <c r="D6" s="678" t="s">
        <v>304</v>
      </c>
      <c r="E6" s="678"/>
      <c r="F6" s="678"/>
      <c r="G6" s="678"/>
      <c r="H6" s="678"/>
      <c r="I6" s="678"/>
      <c r="J6" s="622" t="s">
        <v>97</v>
      </c>
      <c r="K6" s="622"/>
      <c r="L6" s="622"/>
      <c r="M6" s="676" t="s">
        <v>305</v>
      </c>
      <c r="N6" s="677" t="s">
        <v>306</v>
      </c>
    </row>
    <row r="7" spans="1:14" ht="15.75" customHeight="1">
      <c r="A7" s="695"/>
      <c r="B7" s="696"/>
      <c r="C7" s="638"/>
      <c r="D7" s="678" t="s">
        <v>7</v>
      </c>
      <c r="E7" s="678"/>
      <c r="F7" s="678"/>
      <c r="G7" s="678"/>
      <c r="H7" s="678"/>
      <c r="I7" s="678"/>
      <c r="J7" s="622"/>
      <c r="K7" s="622"/>
      <c r="L7" s="622"/>
      <c r="M7" s="676"/>
      <c r="N7" s="677"/>
    </row>
    <row r="8" spans="1:14" s="73" customFormat="1" ht="31.5" customHeight="1">
      <c r="A8" s="695"/>
      <c r="B8" s="696"/>
      <c r="C8" s="638"/>
      <c r="D8" s="622" t="s">
        <v>95</v>
      </c>
      <c r="E8" s="622" t="s">
        <v>96</v>
      </c>
      <c r="F8" s="622"/>
      <c r="G8" s="622"/>
      <c r="H8" s="622"/>
      <c r="I8" s="622"/>
      <c r="J8" s="622"/>
      <c r="K8" s="622"/>
      <c r="L8" s="622"/>
      <c r="M8" s="676"/>
      <c r="N8" s="677"/>
    </row>
    <row r="9" spans="1:14" s="73" customFormat="1" ht="15.75" customHeight="1">
      <c r="A9" s="695"/>
      <c r="B9" s="696"/>
      <c r="C9" s="638"/>
      <c r="D9" s="622"/>
      <c r="E9" s="622" t="s">
        <v>98</v>
      </c>
      <c r="F9" s="622" t="s">
        <v>7</v>
      </c>
      <c r="G9" s="622"/>
      <c r="H9" s="622"/>
      <c r="I9" s="622"/>
      <c r="J9" s="622" t="s">
        <v>7</v>
      </c>
      <c r="K9" s="622"/>
      <c r="L9" s="622"/>
      <c r="M9" s="676"/>
      <c r="N9" s="677"/>
    </row>
    <row r="10" spans="1:14" s="73" customFormat="1" ht="86.25" customHeight="1">
      <c r="A10" s="697"/>
      <c r="B10" s="698"/>
      <c r="C10" s="638"/>
      <c r="D10" s="622"/>
      <c r="E10" s="622"/>
      <c r="F10" s="104" t="s">
        <v>22</v>
      </c>
      <c r="G10" s="104" t="s">
        <v>24</v>
      </c>
      <c r="H10" s="104" t="s">
        <v>16</v>
      </c>
      <c r="I10" s="104" t="s">
        <v>23</v>
      </c>
      <c r="J10" s="104" t="s">
        <v>15</v>
      </c>
      <c r="K10" s="104" t="s">
        <v>20</v>
      </c>
      <c r="L10" s="104" t="s">
        <v>21</v>
      </c>
      <c r="M10" s="676"/>
      <c r="N10" s="677"/>
    </row>
    <row r="11" spans="1:32" ht="13.5" customHeight="1">
      <c r="A11" s="703" t="s">
        <v>5</v>
      </c>
      <c r="B11" s="704"/>
      <c r="C11" s="135">
        <v>1</v>
      </c>
      <c r="D11" s="135" t="s">
        <v>44</v>
      </c>
      <c r="E11" s="135" t="s">
        <v>49</v>
      </c>
      <c r="F11" s="135" t="s">
        <v>58</v>
      </c>
      <c r="G11" s="135" t="s">
        <v>59</v>
      </c>
      <c r="H11" s="135" t="s">
        <v>60</v>
      </c>
      <c r="I11" s="135" t="s">
        <v>61</v>
      </c>
      <c r="J11" s="135" t="s">
        <v>62</v>
      </c>
      <c r="K11" s="135" t="s">
        <v>63</v>
      </c>
      <c r="L11" s="135" t="s">
        <v>83</v>
      </c>
      <c r="M11" s="136"/>
      <c r="N11" s="137"/>
      <c r="AF11" s="33" t="s">
        <v>266</v>
      </c>
    </row>
    <row r="12" spans="1:14" ht="24" customHeight="1">
      <c r="A12" s="684" t="s">
        <v>297</v>
      </c>
      <c r="B12" s="685"/>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82" t="s">
        <v>253</v>
      </c>
      <c r="B13" s="683"/>
      <c r="C13" s="139">
        <v>59</v>
      </c>
      <c r="D13" s="139">
        <v>43</v>
      </c>
      <c r="E13" s="139">
        <v>0</v>
      </c>
      <c r="F13" s="139">
        <v>5</v>
      </c>
      <c r="G13" s="139">
        <v>2</v>
      </c>
      <c r="H13" s="139">
        <v>7</v>
      </c>
      <c r="I13" s="139">
        <v>2</v>
      </c>
      <c r="J13" s="139">
        <v>10</v>
      </c>
      <c r="K13" s="139">
        <v>44</v>
      </c>
      <c r="L13" s="139">
        <v>5</v>
      </c>
      <c r="M13" s="136"/>
      <c r="N13" s="137"/>
    </row>
    <row r="14" spans="1:37" s="52" customFormat="1" ht="16.5" customHeight="1">
      <c r="A14" s="701" t="s">
        <v>30</v>
      </c>
      <c r="B14" s="702"/>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267</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269</v>
      </c>
    </row>
    <row r="18" spans="1:14" s="148" customFormat="1" ht="16.5" customHeight="1">
      <c r="A18" s="147" t="s">
        <v>44</v>
      </c>
      <c r="B18" s="68" t="s">
        <v>299</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270</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271</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272</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274</v>
      </c>
      <c r="AK21" s="148" t="s">
        <v>275</v>
      </c>
      <c r="AL21" s="148" t="s">
        <v>276</v>
      </c>
      <c r="AM21" s="63" t="s">
        <v>277</v>
      </c>
    </row>
    <row r="22" spans="1:39" s="148" customFormat="1" ht="16.5" customHeight="1">
      <c r="A22" s="147" t="s">
        <v>60</v>
      </c>
      <c r="B22" s="68" t="s">
        <v>273</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279</v>
      </c>
    </row>
    <row r="23" spans="1:14" s="148" customFormat="1" ht="16.5" customHeight="1">
      <c r="A23" s="147" t="s">
        <v>61</v>
      </c>
      <c r="B23" s="68" t="s">
        <v>278</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280</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274</v>
      </c>
    </row>
    <row r="25" spans="1:36" s="148" customFormat="1" ht="16.5" customHeight="1">
      <c r="A25" s="147" t="s">
        <v>63</v>
      </c>
      <c r="B25" s="68" t="s">
        <v>281</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283</v>
      </c>
    </row>
    <row r="26" spans="1:44" s="70" customFormat="1" ht="16.5" customHeight="1">
      <c r="A26" s="151" t="s">
        <v>83</v>
      </c>
      <c r="B26" s="68" t="s">
        <v>282</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284</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286</v>
      </c>
      <c r="AI28" s="157">
        <f>82/88</f>
        <v>0.9318181818181818</v>
      </c>
    </row>
    <row r="29" spans="1:13" ht="16.5" customHeight="1">
      <c r="A29" s="616" t="s">
        <v>357</v>
      </c>
      <c r="B29" s="705"/>
      <c r="C29" s="705"/>
      <c r="D29" s="705"/>
      <c r="E29" s="158"/>
      <c r="F29" s="158"/>
      <c r="G29" s="158"/>
      <c r="H29" s="691" t="s">
        <v>307</v>
      </c>
      <c r="I29" s="691"/>
      <c r="J29" s="691"/>
      <c r="K29" s="691"/>
      <c r="L29" s="691"/>
      <c r="M29" s="159"/>
    </row>
    <row r="30" spans="1:12" ht="18.75">
      <c r="A30" s="705"/>
      <c r="B30" s="705"/>
      <c r="C30" s="705"/>
      <c r="D30" s="705"/>
      <c r="E30" s="158"/>
      <c r="F30" s="158"/>
      <c r="G30" s="158"/>
      <c r="H30" s="692" t="s">
        <v>308</v>
      </c>
      <c r="I30" s="692"/>
      <c r="J30" s="692"/>
      <c r="K30" s="692"/>
      <c r="L30" s="692"/>
    </row>
    <row r="31" spans="1:12" s="32" customFormat="1" ht="16.5" customHeight="1">
      <c r="A31" s="613"/>
      <c r="B31" s="613"/>
      <c r="C31" s="613"/>
      <c r="D31" s="613"/>
      <c r="E31" s="160"/>
      <c r="F31" s="160"/>
      <c r="G31" s="160"/>
      <c r="H31" s="614"/>
      <c r="I31" s="614"/>
      <c r="J31" s="614"/>
      <c r="K31" s="614"/>
      <c r="L31" s="614"/>
    </row>
    <row r="32" spans="1:12" ht="18.75">
      <c r="A32" s="89"/>
      <c r="B32" s="613" t="s">
        <v>289</v>
      </c>
      <c r="C32" s="613"/>
      <c r="D32" s="613"/>
      <c r="E32" s="160"/>
      <c r="F32" s="160"/>
      <c r="G32" s="160"/>
      <c r="H32" s="160"/>
      <c r="I32" s="687" t="s">
        <v>289</v>
      </c>
      <c r="J32" s="687"/>
      <c r="K32" s="687"/>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26" t="s">
        <v>245</v>
      </c>
      <c r="B37" s="626"/>
      <c r="C37" s="626"/>
      <c r="D37" s="626"/>
      <c r="E37" s="91"/>
      <c r="F37" s="91"/>
      <c r="G37" s="91"/>
      <c r="H37" s="627" t="s">
        <v>245</v>
      </c>
      <c r="I37" s="627"/>
      <c r="J37" s="627"/>
      <c r="K37" s="627"/>
      <c r="L37" s="627"/>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00" t="s">
        <v>50</v>
      </c>
      <c r="C40" s="700"/>
      <c r="D40" s="700"/>
      <c r="E40" s="700"/>
      <c r="F40" s="700"/>
      <c r="G40" s="700"/>
      <c r="H40" s="700"/>
      <c r="I40" s="700"/>
      <c r="J40" s="700"/>
      <c r="K40" s="700"/>
      <c r="L40" s="700"/>
    </row>
    <row r="41" spans="1:12" ht="16.5" customHeight="1">
      <c r="A41" s="165"/>
      <c r="B41" s="699" t="s">
        <v>52</v>
      </c>
      <c r="C41" s="699"/>
      <c r="D41" s="699"/>
      <c r="E41" s="699"/>
      <c r="F41" s="699"/>
      <c r="G41" s="699"/>
      <c r="H41" s="699"/>
      <c r="I41" s="699"/>
      <c r="J41" s="699"/>
      <c r="K41" s="699"/>
      <c r="L41" s="699"/>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22" t="s">
        <v>134</v>
      </c>
      <c r="B1" s="722"/>
      <c r="C1" s="722"/>
      <c r="D1" s="717" t="s">
        <v>311</v>
      </c>
      <c r="E1" s="718"/>
      <c r="F1" s="718"/>
      <c r="G1" s="718"/>
      <c r="H1" s="718"/>
      <c r="I1" s="718"/>
      <c r="J1" s="718"/>
      <c r="K1" s="718"/>
      <c r="L1" s="718"/>
      <c r="M1" s="718"/>
      <c r="N1" s="718"/>
      <c r="O1" s="212"/>
      <c r="P1" s="169" t="s">
        <v>361</v>
      </c>
      <c r="Q1" s="168"/>
      <c r="R1" s="168"/>
      <c r="S1" s="168"/>
      <c r="T1" s="168"/>
      <c r="U1" s="212"/>
    </row>
    <row r="2" spans="1:21" ht="16.5" customHeight="1">
      <c r="A2" s="719" t="s">
        <v>312</v>
      </c>
      <c r="B2" s="719"/>
      <c r="C2" s="719"/>
      <c r="D2" s="718"/>
      <c r="E2" s="718"/>
      <c r="F2" s="718"/>
      <c r="G2" s="718"/>
      <c r="H2" s="718"/>
      <c r="I2" s="718"/>
      <c r="J2" s="718"/>
      <c r="K2" s="718"/>
      <c r="L2" s="718"/>
      <c r="M2" s="718"/>
      <c r="N2" s="718"/>
      <c r="O2" s="213"/>
      <c r="P2" s="710" t="s">
        <v>313</v>
      </c>
      <c r="Q2" s="710"/>
      <c r="R2" s="710"/>
      <c r="S2" s="710"/>
      <c r="T2" s="710"/>
      <c r="U2" s="213"/>
    </row>
    <row r="3" spans="1:21" ht="16.5" customHeight="1">
      <c r="A3" s="738" t="s">
        <v>314</v>
      </c>
      <c r="B3" s="738"/>
      <c r="C3" s="738"/>
      <c r="D3" s="723" t="s">
        <v>315</v>
      </c>
      <c r="E3" s="723"/>
      <c r="F3" s="723"/>
      <c r="G3" s="723"/>
      <c r="H3" s="723"/>
      <c r="I3" s="723"/>
      <c r="J3" s="723"/>
      <c r="K3" s="723"/>
      <c r="L3" s="723"/>
      <c r="M3" s="723"/>
      <c r="N3" s="723"/>
      <c r="O3" s="213"/>
      <c r="P3" s="173" t="s">
        <v>360</v>
      </c>
      <c r="Q3" s="213"/>
      <c r="R3" s="213"/>
      <c r="S3" s="213"/>
      <c r="T3" s="213"/>
      <c r="U3" s="213"/>
    </row>
    <row r="4" spans="1:21" ht="16.5" customHeight="1">
      <c r="A4" s="724" t="s">
        <v>254</v>
      </c>
      <c r="B4" s="724"/>
      <c r="C4" s="724"/>
      <c r="D4" s="745"/>
      <c r="E4" s="745"/>
      <c r="F4" s="745"/>
      <c r="G4" s="745"/>
      <c r="H4" s="745"/>
      <c r="I4" s="745"/>
      <c r="J4" s="745"/>
      <c r="K4" s="745"/>
      <c r="L4" s="745"/>
      <c r="M4" s="745"/>
      <c r="N4" s="745"/>
      <c r="O4" s="213"/>
      <c r="P4" s="172" t="s">
        <v>293</v>
      </c>
      <c r="Q4" s="213"/>
      <c r="R4" s="213"/>
      <c r="S4" s="213"/>
      <c r="T4" s="213"/>
      <c r="U4" s="213"/>
    </row>
    <row r="5" spans="12:21" ht="16.5" customHeight="1">
      <c r="L5" s="214"/>
      <c r="M5" s="214"/>
      <c r="N5" s="214"/>
      <c r="O5" s="176"/>
      <c r="P5" s="175" t="s">
        <v>316</v>
      </c>
      <c r="Q5" s="176"/>
      <c r="R5" s="176"/>
      <c r="S5" s="176"/>
      <c r="T5" s="176"/>
      <c r="U5" s="172"/>
    </row>
    <row r="6" spans="1:21" s="217" customFormat="1" ht="15.75" customHeight="1">
      <c r="A6" s="711" t="s">
        <v>57</v>
      </c>
      <c r="B6" s="712"/>
      <c r="C6" s="706" t="s">
        <v>135</v>
      </c>
      <c r="D6" s="720" t="s">
        <v>136</v>
      </c>
      <c r="E6" s="721"/>
      <c r="F6" s="721"/>
      <c r="G6" s="721"/>
      <c r="H6" s="721"/>
      <c r="I6" s="721"/>
      <c r="J6" s="721"/>
      <c r="K6" s="721"/>
      <c r="L6" s="721"/>
      <c r="M6" s="721"/>
      <c r="N6" s="721"/>
      <c r="O6" s="721"/>
      <c r="P6" s="721"/>
      <c r="Q6" s="721"/>
      <c r="R6" s="721"/>
      <c r="S6" s="721"/>
      <c r="T6" s="706" t="s">
        <v>137</v>
      </c>
      <c r="U6" s="216"/>
    </row>
    <row r="7" spans="1:20" s="218" customFormat="1" ht="12.75" customHeight="1">
      <c r="A7" s="713"/>
      <c r="B7" s="714"/>
      <c r="C7" s="706"/>
      <c r="D7" s="742" t="s">
        <v>132</v>
      </c>
      <c r="E7" s="721" t="s">
        <v>7</v>
      </c>
      <c r="F7" s="721"/>
      <c r="G7" s="721"/>
      <c r="H7" s="721"/>
      <c r="I7" s="721"/>
      <c r="J7" s="721"/>
      <c r="K7" s="721"/>
      <c r="L7" s="721"/>
      <c r="M7" s="721"/>
      <c r="N7" s="721"/>
      <c r="O7" s="721"/>
      <c r="P7" s="721"/>
      <c r="Q7" s="721"/>
      <c r="R7" s="721"/>
      <c r="S7" s="721"/>
      <c r="T7" s="706"/>
    </row>
    <row r="8" spans="1:21" s="218" customFormat="1" ht="43.5" customHeight="1">
      <c r="A8" s="713"/>
      <c r="B8" s="714"/>
      <c r="C8" s="706"/>
      <c r="D8" s="743"/>
      <c r="E8" s="709" t="s">
        <v>138</v>
      </c>
      <c r="F8" s="706"/>
      <c r="G8" s="706"/>
      <c r="H8" s="706" t="s">
        <v>139</v>
      </c>
      <c r="I8" s="706"/>
      <c r="J8" s="706"/>
      <c r="K8" s="706" t="s">
        <v>140</v>
      </c>
      <c r="L8" s="706"/>
      <c r="M8" s="706" t="s">
        <v>141</v>
      </c>
      <c r="N8" s="706"/>
      <c r="O8" s="706"/>
      <c r="P8" s="706" t="s">
        <v>142</v>
      </c>
      <c r="Q8" s="706" t="s">
        <v>143</v>
      </c>
      <c r="R8" s="706" t="s">
        <v>144</v>
      </c>
      <c r="S8" s="725" t="s">
        <v>145</v>
      </c>
      <c r="T8" s="706"/>
      <c r="U8" s="735" t="s">
        <v>317</v>
      </c>
    </row>
    <row r="9" spans="1:21" s="218" customFormat="1" ht="44.25" customHeight="1">
      <c r="A9" s="715"/>
      <c r="B9" s="716"/>
      <c r="C9" s="706"/>
      <c r="D9" s="744"/>
      <c r="E9" s="219" t="s">
        <v>146</v>
      </c>
      <c r="F9" s="215" t="s">
        <v>147</v>
      </c>
      <c r="G9" s="215" t="s">
        <v>318</v>
      </c>
      <c r="H9" s="215" t="s">
        <v>148</v>
      </c>
      <c r="I9" s="215" t="s">
        <v>149</v>
      </c>
      <c r="J9" s="215" t="s">
        <v>150</v>
      </c>
      <c r="K9" s="215" t="s">
        <v>147</v>
      </c>
      <c r="L9" s="215" t="s">
        <v>151</v>
      </c>
      <c r="M9" s="215" t="s">
        <v>152</v>
      </c>
      <c r="N9" s="215" t="s">
        <v>153</v>
      </c>
      <c r="O9" s="215" t="s">
        <v>319</v>
      </c>
      <c r="P9" s="706"/>
      <c r="Q9" s="706"/>
      <c r="R9" s="706"/>
      <c r="S9" s="725"/>
      <c r="T9" s="706"/>
      <c r="U9" s="736"/>
    </row>
    <row r="10" spans="1:21" s="222" customFormat="1" ht="15.75" customHeight="1">
      <c r="A10" s="739" t="s">
        <v>6</v>
      </c>
      <c r="B10" s="740"/>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36"/>
    </row>
    <row r="11" spans="1:21" s="222" customFormat="1" ht="15.75" customHeight="1">
      <c r="A11" s="707" t="s">
        <v>297</v>
      </c>
      <c r="B11" s="708"/>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37"/>
    </row>
    <row r="12" spans="1:21" s="222" customFormat="1" ht="15.75" customHeight="1">
      <c r="A12" s="726" t="s">
        <v>298</v>
      </c>
      <c r="B12" s="72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32" t="s">
        <v>30</v>
      </c>
      <c r="B13" s="73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267</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299</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270</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271</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272</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273</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278</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280</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281</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282</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284</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41" t="s">
        <v>285</v>
      </c>
      <c r="C28" s="741"/>
      <c r="D28" s="741"/>
      <c r="E28" s="741"/>
      <c r="F28" s="181"/>
      <c r="G28" s="181"/>
      <c r="H28" s="181"/>
      <c r="I28" s="181"/>
      <c r="J28" s="181"/>
      <c r="K28" s="181" t="s">
        <v>154</v>
      </c>
      <c r="L28" s="182"/>
      <c r="M28" s="746" t="s">
        <v>320</v>
      </c>
      <c r="N28" s="746"/>
      <c r="O28" s="746"/>
      <c r="P28" s="746"/>
      <c r="Q28" s="746"/>
      <c r="R28" s="746"/>
      <c r="S28" s="746"/>
      <c r="T28" s="746"/>
    </row>
    <row r="29" spans="1:20" s="233" customFormat="1" ht="18.75" customHeight="1">
      <c r="A29" s="232"/>
      <c r="B29" s="731" t="s">
        <v>155</v>
      </c>
      <c r="C29" s="731"/>
      <c r="D29" s="731"/>
      <c r="E29" s="234"/>
      <c r="F29" s="183"/>
      <c r="G29" s="183"/>
      <c r="H29" s="183"/>
      <c r="I29" s="183"/>
      <c r="J29" s="183"/>
      <c r="K29" s="183"/>
      <c r="L29" s="182"/>
      <c r="M29" s="734" t="s">
        <v>309</v>
      </c>
      <c r="N29" s="734"/>
      <c r="O29" s="734"/>
      <c r="P29" s="734"/>
      <c r="Q29" s="734"/>
      <c r="R29" s="734"/>
      <c r="S29" s="734"/>
      <c r="T29" s="734"/>
    </row>
    <row r="30" spans="1:20" s="233" customFormat="1" ht="18.75">
      <c r="A30" s="184"/>
      <c r="B30" s="728"/>
      <c r="C30" s="728"/>
      <c r="D30" s="728"/>
      <c r="E30" s="186"/>
      <c r="F30" s="186"/>
      <c r="G30" s="186"/>
      <c r="H30" s="186"/>
      <c r="I30" s="186"/>
      <c r="J30" s="186"/>
      <c r="K30" s="186"/>
      <c r="L30" s="186"/>
      <c r="M30" s="729"/>
      <c r="N30" s="729"/>
      <c r="O30" s="729"/>
      <c r="P30" s="729"/>
      <c r="Q30" s="729"/>
      <c r="R30" s="729"/>
      <c r="S30" s="729"/>
      <c r="T30" s="72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157</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158</v>
      </c>
      <c r="C34" s="186"/>
      <c r="D34" s="186"/>
      <c r="E34" s="186"/>
      <c r="F34" s="186"/>
      <c r="G34" s="186"/>
      <c r="H34" s="186"/>
      <c r="I34" s="186"/>
      <c r="J34" s="186"/>
      <c r="K34" s="186"/>
      <c r="L34" s="186"/>
      <c r="M34" s="186"/>
      <c r="N34" s="186"/>
      <c r="O34" s="186"/>
      <c r="P34" s="186"/>
      <c r="Q34" s="186"/>
      <c r="R34" s="186"/>
      <c r="S34" s="186"/>
      <c r="T34" s="186"/>
    </row>
    <row r="35" spans="2:20" ht="18.75" hidden="1">
      <c r="B35" s="236" t="s">
        <v>159</v>
      </c>
      <c r="C35" s="186"/>
      <c r="D35" s="186"/>
      <c r="E35" s="186"/>
      <c r="F35" s="186"/>
      <c r="G35" s="186"/>
      <c r="H35" s="186"/>
      <c r="I35" s="186"/>
      <c r="J35" s="186"/>
      <c r="K35" s="186"/>
      <c r="L35" s="186"/>
      <c r="M35" s="186"/>
      <c r="N35" s="186"/>
      <c r="O35" s="186"/>
      <c r="P35" s="186"/>
      <c r="Q35" s="186"/>
      <c r="R35" s="186"/>
      <c r="S35" s="186"/>
      <c r="T35" s="186"/>
    </row>
    <row r="36" spans="2:20" s="211" customFormat="1" ht="18.75">
      <c r="B36" s="730" t="s">
        <v>289</v>
      </c>
      <c r="C36" s="730"/>
      <c r="D36" s="730"/>
      <c r="E36" s="236"/>
      <c r="F36" s="236"/>
      <c r="G36" s="236"/>
      <c r="H36" s="236"/>
      <c r="I36" s="236"/>
      <c r="J36" s="236"/>
      <c r="K36" s="236"/>
      <c r="L36" s="236"/>
      <c r="M36" s="236"/>
      <c r="N36" s="730" t="s">
        <v>289</v>
      </c>
      <c r="O36" s="730"/>
      <c r="P36" s="730"/>
      <c r="Q36" s="730"/>
      <c r="R36" s="730"/>
      <c r="S36" s="73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26" t="s">
        <v>245</v>
      </c>
      <c r="C38" s="626"/>
      <c r="D38" s="626"/>
      <c r="E38" s="210"/>
      <c r="F38" s="210"/>
      <c r="G38" s="210"/>
      <c r="H38" s="210"/>
      <c r="I38" s="182"/>
      <c r="J38" s="182"/>
      <c r="K38" s="182"/>
      <c r="L38" s="182"/>
      <c r="M38" s="627" t="s">
        <v>246</v>
      </c>
      <c r="N38" s="627"/>
      <c r="O38" s="627"/>
      <c r="P38" s="627"/>
      <c r="Q38" s="627"/>
      <c r="R38" s="627"/>
      <c r="S38" s="627"/>
      <c r="T38" s="627"/>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64" t="s">
        <v>160</v>
      </c>
      <c r="B1" s="764"/>
      <c r="C1" s="764"/>
      <c r="D1" s="238"/>
      <c r="E1" s="753" t="s">
        <v>161</v>
      </c>
      <c r="F1" s="753"/>
      <c r="G1" s="753"/>
      <c r="H1" s="753"/>
      <c r="I1" s="753"/>
      <c r="J1" s="753"/>
      <c r="K1" s="753"/>
      <c r="L1" s="753"/>
      <c r="M1" s="753"/>
      <c r="N1" s="753"/>
      <c r="O1" s="191"/>
      <c r="P1" s="769" t="s">
        <v>359</v>
      </c>
      <c r="Q1" s="769"/>
      <c r="R1" s="769"/>
      <c r="S1" s="769"/>
      <c r="T1" s="769"/>
    </row>
    <row r="2" spans="1:20" ht="15.75" customHeight="1">
      <c r="A2" s="765" t="s">
        <v>321</v>
      </c>
      <c r="B2" s="765"/>
      <c r="C2" s="765"/>
      <c r="D2" s="765"/>
      <c r="E2" s="767" t="s">
        <v>162</v>
      </c>
      <c r="F2" s="767"/>
      <c r="G2" s="767"/>
      <c r="H2" s="767"/>
      <c r="I2" s="767"/>
      <c r="J2" s="767"/>
      <c r="K2" s="767"/>
      <c r="L2" s="767"/>
      <c r="M2" s="767"/>
      <c r="N2" s="767"/>
      <c r="O2" s="194"/>
      <c r="P2" s="751" t="s">
        <v>301</v>
      </c>
      <c r="Q2" s="751"/>
      <c r="R2" s="751"/>
      <c r="S2" s="751"/>
      <c r="T2" s="751"/>
    </row>
    <row r="3" spans="1:20" ht="17.25">
      <c r="A3" s="765" t="s">
        <v>252</v>
      </c>
      <c r="B3" s="765"/>
      <c r="C3" s="765"/>
      <c r="D3" s="239"/>
      <c r="E3" s="754" t="s">
        <v>253</v>
      </c>
      <c r="F3" s="754"/>
      <c r="G3" s="754"/>
      <c r="H3" s="754"/>
      <c r="I3" s="754"/>
      <c r="J3" s="754"/>
      <c r="K3" s="754"/>
      <c r="L3" s="754"/>
      <c r="M3" s="754"/>
      <c r="N3" s="754"/>
      <c r="O3" s="194"/>
      <c r="P3" s="752" t="s">
        <v>360</v>
      </c>
      <c r="Q3" s="752"/>
      <c r="R3" s="752"/>
      <c r="S3" s="752"/>
      <c r="T3" s="752"/>
    </row>
    <row r="4" spans="1:20" ht="18.75" customHeight="1">
      <c r="A4" s="766" t="s">
        <v>254</v>
      </c>
      <c r="B4" s="766"/>
      <c r="C4" s="766"/>
      <c r="D4" s="768"/>
      <c r="E4" s="768"/>
      <c r="F4" s="768"/>
      <c r="G4" s="768"/>
      <c r="H4" s="768"/>
      <c r="I4" s="768"/>
      <c r="J4" s="768"/>
      <c r="K4" s="768"/>
      <c r="L4" s="768"/>
      <c r="M4" s="768"/>
      <c r="N4" s="768"/>
      <c r="O4" s="195"/>
      <c r="P4" s="751" t="s">
        <v>293</v>
      </c>
      <c r="Q4" s="752"/>
      <c r="R4" s="752"/>
      <c r="S4" s="752"/>
      <c r="T4" s="752"/>
    </row>
    <row r="5" spans="1:23" ht="15">
      <c r="A5" s="208"/>
      <c r="B5" s="208"/>
      <c r="C5" s="240"/>
      <c r="D5" s="240"/>
      <c r="E5" s="208"/>
      <c r="F5" s="208"/>
      <c r="G5" s="208"/>
      <c r="H5" s="208"/>
      <c r="I5" s="208"/>
      <c r="J5" s="208"/>
      <c r="K5" s="208"/>
      <c r="L5" s="208"/>
      <c r="P5" s="770" t="s">
        <v>316</v>
      </c>
      <c r="Q5" s="770"/>
      <c r="R5" s="770"/>
      <c r="S5" s="770"/>
      <c r="T5" s="770"/>
      <c r="U5" s="241"/>
      <c r="V5" s="241"/>
      <c r="W5" s="241"/>
    </row>
    <row r="6" spans="1:23" ht="29.25" customHeight="1">
      <c r="A6" s="711" t="s">
        <v>57</v>
      </c>
      <c r="B6" s="787"/>
      <c r="C6" s="782" t="s">
        <v>2</v>
      </c>
      <c r="D6" s="771" t="s">
        <v>163</v>
      </c>
      <c r="E6" s="762"/>
      <c r="F6" s="762"/>
      <c r="G6" s="762"/>
      <c r="H6" s="762"/>
      <c r="I6" s="762"/>
      <c r="J6" s="763"/>
      <c r="K6" s="755" t="s">
        <v>164</v>
      </c>
      <c r="L6" s="756"/>
      <c r="M6" s="756"/>
      <c r="N6" s="756"/>
      <c r="O6" s="756"/>
      <c r="P6" s="756"/>
      <c r="Q6" s="756"/>
      <c r="R6" s="756"/>
      <c r="S6" s="756"/>
      <c r="T6" s="757"/>
      <c r="U6" s="242"/>
      <c r="V6" s="243"/>
      <c r="W6" s="243"/>
    </row>
    <row r="7" spans="1:20" ht="19.5" customHeight="1">
      <c r="A7" s="713"/>
      <c r="B7" s="788"/>
      <c r="C7" s="783"/>
      <c r="D7" s="762" t="s">
        <v>7</v>
      </c>
      <c r="E7" s="762"/>
      <c r="F7" s="762"/>
      <c r="G7" s="762"/>
      <c r="H7" s="762"/>
      <c r="I7" s="762"/>
      <c r="J7" s="763"/>
      <c r="K7" s="758"/>
      <c r="L7" s="759"/>
      <c r="M7" s="759"/>
      <c r="N7" s="759"/>
      <c r="O7" s="759"/>
      <c r="P7" s="759"/>
      <c r="Q7" s="759"/>
      <c r="R7" s="759"/>
      <c r="S7" s="759"/>
      <c r="T7" s="760"/>
    </row>
    <row r="8" spans="1:20" ht="33" customHeight="1">
      <c r="A8" s="713"/>
      <c r="B8" s="788"/>
      <c r="C8" s="783"/>
      <c r="D8" s="761" t="s">
        <v>165</v>
      </c>
      <c r="E8" s="748"/>
      <c r="F8" s="747" t="s">
        <v>166</v>
      </c>
      <c r="G8" s="748"/>
      <c r="H8" s="747" t="s">
        <v>167</v>
      </c>
      <c r="I8" s="748"/>
      <c r="J8" s="747" t="s">
        <v>168</v>
      </c>
      <c r="K8" s="750" t="s">
        <v>169</v>
      </c>
      <c r="L8" s="750"/>
      <c r="M8" s="750"/>
      <c r="N8" s="750" t="s">
        <v>170</v>
      </c>
      <c r="O8" s="750"/>
      <c r="P8" s="750"/>
      <c r="Q8" s="747" t="s">
        <v>171</v>
      </c>
      <c r="R8" s="749" t="s">
        <v>172</v>
      </c>
      <c r="S8" s="749" t="s">
        <v>173</v>
      </c>
      <c r="T8" s="747" t="s">
        <v>174</v>
      </c>
    </row>
    <row r="9" spans="1:20" ht="18.75" customHeight="1">
      <c r="A9" s="713"/>
      <c r="B9" s="788"/>
      <c r="C9" s="783"/>
      <c r="D9" s="761" t="s">
        <v>175</v>
      </c>
      <c r="E9" s="747" t="s">
        <v>176</v>
      </c>
      <c r="F9" s="747" t="s">
        <v>175</v>
      </c>
      <c r="G9" s="747" t="s">
        <v>176</v>
      </c>
      <c r="H9" s="747" t="s">
        <v>175</v>
      </c>
      <c r="I9" s="747" t="s">
        <v>177</v>
      </c>
      <c r="J9" s="747"/>
      <c r="K9" s="750"/>
      <c r="L9" s="750"/>
      <c r="M9" s="750"/>
      <c r="N9" s="750"/>
      <c r="O9" s="750"/>
      <c r="P9" s="750"/>
      <c r="Q9" s="747"/>
      <c r="R9" s="749"/>
      <c r="S9" s="749"/>
      <c r="T9" s="747"/>
    </row>
    <row r="10" spans="1:20" ht="23.25" customHeight="1">
      <c r="A10" s="715"/>
      <c r="B10" s="789"/>
      <c r="C10" s="784"/>
      <c r="D10" s="761"/>
      <c r="E10" s="747"/>
      <c r="F10" s="747"/>
      <c r="G10" s="747"/>
      <c r="H10" s="747"/>
      <c r="I10" s="747"/>
      <c r="J10" s="747"/>
      <c r="K10" s="244" t="s">
        <v>178</v>
      </c>
      <c r="L10" s="244" t="s">
        <v>153</v>
      </c>
      <c r="M10" s="244" t="s">
        <v>179</v>
      </c>
      <c r="N10" s="244" t="s">
        <v>178</v>
      </c>
      <c r="O10" s="244" t="s">
        <v>180</v>
      </c>
      <c r="P10" s="244" t="s">
        <v>181</v>
      </c>
      <c r="Q10" s="747"/>
      <c r="R10" s="749"/>
      <c r="S10" s="749"/>
      <c r="T10" s="747"/>
    </row>
    <row r="11" spans="1:32" s="201" customFormat="1" ht="17.25" customHeight="1">
      <c r="A11" s="785" t="s">
        <v>6</v>
      </c>
      <c r="B11" s="786"/>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75" t="s">
        <v>322</v>
      </c>
      <c r="B12" s="776"/>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78" t="s">
        <v>298</v>
      </c>
      <c r="B13" s="779"/>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81" t="s">
        <v>182</v>
      </c>
      <c r="B14" s="761"/>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267</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299</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270</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271</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272</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273</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278</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280</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281</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282</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284</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286</v>
      </c>
      <c r="AI28" s="190">
        <f>82/88</f>
        <v>0.9318181818181818</v>
      </c>
    </row>
    <row r="29" spans="1:20" ht="15.75" customHeight="1">
      <c r="A29" s="202"/>
      <c r="B29" s="773" t="s">
        <v>310</v>
      </c>
      <c r="C29" s="773"/>
      <c r="D29" s="773"/>
      <c r="E29" s="773"/>
      <c r="F29" s="258"/>
      <c r="G29" s="258"/>
      <c r="H29" s="258"/>
      <c r="I29" s="258"/>
      <c r="J29" s="258"/>
      <c r="K29" s="258"/>
      <c r="L29" s="206"/>
      <c r="M29" s="772" t="s">
        <v>323</v>
      </c>
      <c r="N29" s="772"/>
      <c r="O29" s="772"/>
      <c r="P29" s="772"/>
      <c r="Q29" s="772"/>
      <c r="R29" s="772"/>
      <c r="S29" s="772"/>
      <c r="T29" s="772"/>
    </row>
    <row r="30" spans="1:20" ht="18.75" customHeight="1">
      <c r="A30" s="202"/>
      <c r="B30" s="774" t="s">
        <v>155</v>
      </c>
      <c r="C30" s="774"/>
      <c r="D30" s="774"/>
      <c r="E30" s="774"/>
      <c r="F30" s="205"/>
      <c r="G30" s="205"/>
      <c r="H30" s="205"/>
      <c r="I30" s="205"/>
      <c r="J30" s="205"/>
      <c r="K30" s="205"/>
      <c r="L30" s="206"/>
      <c r="M30" s="777" t="s">
        <v>156</v>
      </c>
      <c r="N30" s="777"/>
      <c r="O30" s="777"/>
      <c r="P30" s="777"/>
      <c r="Q30" s="777"/>
      <c r="R30" s="777"/>
      <c r="S30" s="777"/>
      <c r="T30" s="777"/>
    </row>
    <row r="31" spans="1:20" ht="18.75">
      <c r="A31" s="208"/>
      <c r="B31" s="728"/>
      <c r="C31" s="728"/>
      <c r="D31" s="728"/>
      <c r="E31" s="728"/>
      <c r="F31" s="209"/>
      <c r="G31" s="209"/>
      <c r="H31" s="209"/>
      <c r="I31" s="209"/>
      <c r="J31" s="209"/>
      <c r="K31" s="209"/>
      <c r="L31" s="209"/>
      <c r="M31" s="729"/>
      <c r="N31" s="729"/>
      <c r="O31" s="729"/>
      <c r="P31" s="729"/>
      <c r="Q31" s="729"/>
      <c r="R31" s="729"/>
      <c r="S31" s="729"/>
      <c r="T31" s="72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80" t="s">
        <v>289</v>
      </c>
      <c r="C33" s="780"/>
      <c r="D33" s="780"/>
      <c r="E33" s="780"/>
      <c r="F33" s="780"/>
      <c r="G33" s="259"/>
      <c r="H33" s="259"/>
      <c r="I33" s="259"/>
      <c r="J33" s="259"/>
      <c r="K33" s="259"/>
      <c r="L33" s="259"/>
      <c r="M33" s="259"/>
      <c r="N33" s="780" t="s">
        <v>289</v>
      </c>
      <c r="O33" s="780"/>
      <c r="P33" s="780"/>
      <c r="Q33" s="780"/>
      <c r="R33" s="780"/>
      <c r="S33" s="780"/>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26" t="s">
        <v>245</v>
      </c>
      <c r="C35" s="626"/>
      <c r="D35" s="626"/>
      <c r="E35" s="626"/>
      <c r="F35" s="210"/>
      <c r="G35" s="210"/>
      <c r="H35" s="210"/>
      <c r="I35" s="182"/>
      <c r="J35" s="182"/>
      <c r="K35" s="182"/>
      <c r="L35" s="182"/>
      <c r="M35" s="627" t="s">
        <v>246</v>
      </c>
      <c r="N35" s="627"/>
      <c r="O35" s="627"/>
      <c r="P35" s="627"/>
      <c r="Q35" s="627"/>
      <c r="R35" s="627"/>
      <c r="S35" s="627"/>
      <c r="T35" s="627"/>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131</v>
      </c>
    </row>
    <row r="39" spans="2:8" s="262" customFormat="1" ht="15" hidden="1">
      <c r="B39" s="263" t="s">
        <v>183</v>
      </c>
      <c r="C39" s="263"/>
      <c r="D39" s="263"/>
      <c r="E39" s="263"/>
      <c r="F39" s="263"/>
      <c r="G39" s="263"/>
      <c r="H39" s="263"/>
    </row>
    <row r="40" spans="2:8" s="264" customFormat="1" ht="15" hidden="1">
      <c r="B40" s="263" t="s">
        <v>184</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96" t="s">
        <v>185</v>
      </c>
      <c r="B1" s="796"/>
      <c r="C1" s="796"/>
      <c r="D1" s="799" t="s">
        <v>362</v>
      </c>
      <c r="E1" s="799"/>
      <c r="F1" s="799"/>
      <c r="G1" s="799"/>
      <c r="H1" s="799"/>
      <c r="I1" s="799"/>
      <c r="J1" s="800" t="s">
        <v>363</v>
      </c>
      <c r="K1" s="801"/>
      <c r="L1" s="801"/>
    </row>
    <row r="2" spans="1:12" ht="34.5" customHeight="1">
      <c r="A2" s="802" t="s">
        <v>324</v>
      </c>
      <c r="B2" s="802"/>
      <c r="C2" s="802"/>
      <c r="D2" s="799"/>
      <c r="E2" s="799"/>
      <c r="F2" s="799"/>
      <c r="G2" s="799"/>
      <c r="H2" s="799"/>
      <c r="I2" s="799"/>
      <c r="J2" s="803" t="s">
        <v>364</v>
      </c>
      <c r="K2" s="804"/>
      <c r="L2" s="804"/>
    </row>
    <row r="3" spans="1:12" ht="15" customHeight="1">
      <c r="A3" s="265" t="s">
        <v>254</v>
      </c>
      <c r="B3" s="174"/>
      <c r="C3" s="805"/>
      <c r="D3" s="805"/>
      <c r="E3" s="805"/>
      <c r="F3" s="805"/>
      <c r="G3" s="805"/>
      <c r="H3" s="805"/>
      <c r="I3" s="805"/>
      <c r="J3" s="797"/>
      <c r="K3" s="798"/>
      <c r="L3" s="798"/>
    </row>
    <row r="4" spans="1:12" ht="15.75" customHeight="1">
      <c r="A4" s="266"/>
      <c r="B4" s="266"/>
      <c r="C4" s="267"/>
      <c r="D4" s="267"/>
      <c r="E4" s="170"/>
      <c r="F4" s="170"/>
      <c r="G4" s="170"/>
      <c r="H4" s="268"/>
      <c r="I4" s="268"/>
      <c r="J4" s="806" t="s">
        <v>186</v>
      </c>
      <c r="K4" s="806"/>
      <c r="L4" s="806"/>
    </row>
    <row r="5" spans="1:12" s="269" customFormat="1" ht="28.5" customHeight="1">
      <c r="A5" s="791" t="s">
        <v>57</v>
      </c>
      <c r="B5" s="791"/>
      <c r="C5" s="706" t="s">
        <v>31</v>
      </c>
      <c r="D5" s="706" t="s">
        <v>187</v>
      </c>
      <c r="E5" s="706"/>
      <c r="F5" s="706"/>
      <c r="G5" s="706"/>
      <c r="H5" s="706" t="s">
        <v>188</v>
      </c>
      <c r="I5" s="706"/>
      <c r="J5" s="706" t="s">
        <v>189</v>
      </c>
      <c r="K5" s="706"/>
      <c r="L5" s="706"/>
    </row>
    <row r="6" spans="1:13" s="269" customFormat="1" ht="80.25" customHeight="1">
      <c r="A6" s="791"/>
      <c r="B6" s="791"/>
      <c r="C6" s="706"/>
      <c r="D6" s="215" t="s">
        <v>190</v>
      </c>
      <c r="E6" s="215" t="s">
        <v>191</v>
      </c>
      <c r="F6" s="215" t="s">
        <v>325</v>
      </c>
      <c r="G6" s="215" t="s">
        <v>192</v>
      </c>
      <c r="H6" s="215" t="s">
        <v>193</v>
      </c>
      <c r="I6" s="215" t="s">
        <v>194</v>
      </c>
      <c r="J6" s="215" t="s">
        <v>195</v>
      </c>
      <c r="K6" s="215" t="s">
        <v>196</v>
      </c>
      <c r="L6" s="215" t="s">
        <v>197</v>
      </c>
      <c r="M6" s="270"/>
    </row>
    <row r="7" spans="1:12" s="271" customFormat="1" ht="16.5" customHeight="1">
      <c r="A7" s="807" t="s">
        <v>6</v>
      </c>
      <c r="B7" s="807"/>
      <c r="C7" s="221">
        <v>1</v>
      </c>
      <c r="D7" s="221">
        <v>2</v>
      </c>
      <c r="E7" s="221">
        <v>3</v>
      </c>
      <c r="F7" s="221">
        <v>4</v>
      </c>
      <c r="G7" s="221">
        <v>5</v>
      </c>
      <c r="H7" s="221">
        <v>6</v>
      </c>
      <c r="I7" s="221">
        <v>7</v>
      </c>
      <c r="J7" s="221">
        <v>8</v>
      </c>
      <c r="K7" s="221">
        <v>9</v>
      </c>
      <c r="L7" s="221">
        <v>10</v>
      </c>
    </row>
    <row r="8" spans="1:12" s="271" customFormat="1" ht="16.5" customHeight="1">
      <c r="A8" s="794" t="s">
        <v>322</v>
      </c>
      <c r="B8" s="795"/>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92" t="s">
        <v>298</v>
      </c>
      <c r="B9" s="793"/>
      <c r="C9" s="224">
        <v>9</v>
      </c>
      <c r="D9" s="224">
        <v>2</v>
      </c>
      <c r="E9" s="224">
        <v>2</v>
      </c>
      <c r="F9" s="224">
        <v>0</v>
      </c>
      <c r="G9" s="224">
        <v>5</v>
      </c>
      <c r="H9" s="224">
        <v>8</v>
      </c>
      <c r="I9" s="224">
        <v>0</v>
      </c>
      <c r="J9" s="224">
        <v>8</v>
      </c>
      <c r="K9" s="224">
        <v>1</v>
      </c>
      <c r="L9" s="224">
        <v>0</v>
      </c>
    </row>
    <row r="10" spans="1:12" s="271" customFormat="1" ht="16.5" customHeight="1">
      <c r="A10" s="808" t="s">
        <v>182</v>
      </c>
      <c r="B10" s="80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198</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267</v>
      </c>
      <c r="C13" s="272">
        <f aca="true" t="shared" si="3" ref="C13:C23">D13+E13+F13+G13</f>
        <v>0</v>
      </c>
      <c r="D13" s="231">
        <v>0</v>
      </c>
      <c r="E13" s="231">
        <v>0</v>
      </c>
      <c r="F13" s="231">
        <v>0</v>
      </c>
      <c r="G13" s="231">
        <v>0</v>
      </c>
      <c r="H13" s="231">
        <v>0</v>
      </c>
      <c r="I13" s="231">
        <v>0</v>
      </c>
      <c r="J13" s="273">
        <v>0</v>
      </c>
      <c r="K13" s="273">
        <v>0</v>
      </c>
      <c r="L13" s="273">
        <v>0</v>
      </c>
      <c r="AF13" s="271" t="s">
        <v>266</v>
      </c>
    </row>
    <row r="14" spans="1:37" s="271" customFormat="1" ht="16.5" customHeight="1">
      <c r="A14" s="274">
        <v>2</v>
      </c>
      <c r="B14" s="68" t="s">
        <v>299</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270</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271</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326</v>
      </c>
      <c r="C17" s="272">
        <f t="shared" si="3"/>
        <v>1</v>
      </c>
      <c r="D17" s="231">
        <v>0</v>
      </c>
      <c r="E17" s="231">
        <v>0</v>
      </c>
      <c r="F17" s="231">
        <v>0</v>
      </c>
      <c r="G17" s="231">
        <v>1</v>
      </c>
      <c r="H17" s="231">
        <v>1</v>
      </c>
      <c r="I17" s="231">
        <v>0</v>
      </c>
      <c r="J17" s="273">
        <v>1</v>
      </c>
      <c r="K17" s="273">
        <v>0</v>
      </c>
      <c r="L17" s="273">
        <v>0</v>
      </c>
      <c r="AF17" s="199" t="s">
        <v>269</v>
      </c>
    </row>
    <row r="18" spans="1:12" s="271" customFormat="1" ht="16.5" customHeight="1">
      <c r="A18" s="274">
        <v>6</v>
      </c>
      <c r="B18" s="68" t="s">
        <v>273</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278</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280</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281</v>
      </c>
      <c r="C21" s="272">
        <f t="shared" si="3"/>
        <v>0</v>
      </c>
      <c r="D21" s="231">
        <v>0</v>
      </c>
      <c r="E21" s="231">
        <v>0</v>
      </c>
      <c r="F21" s="231">
        <v>0</v>
      </c>
      <c r="G21" s="231">
        <v>0</v>
      </c>
      <c r="H21" s="231">
        <v>0</v>
      </c>
      <c r="I21" s="231">
        <v>0</v>
      </c>
      <c r="J21" s="273">
        <v>0</v>
      </c>
      <c r="K21" s="273">
        <v>0</v>
      </c>
      <c r="L21" s="273">
        <v>0</v>
      </c>
      <c r="AJ21" s="271" t="s">
        <v>274</v>
      </c>
      <c r="AK21" s="271" t="s">
        <v>275</v>
      </c>
      <c r="AL21" s="271" t="s">
        <v>276</v>
      </c>
      <c r="AM21" s="199" t="s">
        <v>277</v>
      </c>
    </row>
    <row r="22" spans="1:39" s="271" customFormat="1" ht="16.5" customHeight="1">
      <c r="A22" s="274">
        <v>10</v>
      </c>
      <c r="B22" s="68" t="s">
        <v>282</v>
      </c>
      <c r="C22" s="272">
        <f t="shared" si="3"/>
        <v>1</v>
      </c>
      <c r="D22" s="231">
        <v>0</v>
      </c>
      <c r="E22" s="231">
        <v>1</v>
      </c>
      <c r="F22" s="231">
        <v>0</v>
      </c>
      <c r="G22" s="231">
        <v>0</v>
      </c>
      <c r="H22" s="231">
        <v>1</v>
      </c>
      <c r="I22" s="231">
        <v>0</v>
      </c>
      <c r="J22" s="273">
        <v>1</v>
      </c>
      <c r="K22" s="273">
        <v>0</v>
      </c>
      <c r="L22" s="273">
        <v>0</v>
      </c>
      <c r="AM22" s="199" t="s">
        <v>279</v>
      </c>
    </row>
    <row r="23" spans="1:12" s="271" customFormat="1" ht="16.5" customHeight="1">
      <c r="A23" s="274">
        <v>11</v>
      </c>
      <c r="B23" s="68" t="s">
        <v>284</v>
      </c>
      <c r="C23" s="272">
        <f t="shared" si="3"/>
        <v>0</v>
      </c>
      <c r="D23" s="231">
        <v>0</v>
      </c>
      <c r="E23" s="231">
        <v>0</v>
      </c>
      <c r="F23" s="231">
        <v>0</v>
      </c>
      <c r="G23" s="231">
        <v>0</v>
      </c>
      <c r="H23" s="231">
        <v>0</v>
      </c>
      <c r="I23" s="231">
        <v>0</v>
      </c>
      <c r="J23" s="273">
        <v>0</v>
      </c>
      <c r="K23" s="273">
        <v>0</v>
      </c>
      <c r="L23" s="273">
        <v>0</v>
      </c>
    </row>
    <row r="24" ht="9" customHeight="1">
      <c r="AJ24" s="233" t="s">
        <v>274</v>
      </c>
    </row>
    <row r="25" spans="1:36" ht="15.75" customHeight="1">
      <c r="A25" s="741" t="s">
        <v>327</v>
      </c>
      <c r="B25" s="741"/>
      <c r="C25" s="741"/>
      <c r="D25" s="741"/>
      <c r="E25" s="182"/>
      <c r="F25" s="746" t="s">
        <v>285</v>
      </c>
      <c r="G25" s="746"/>
      <c r="H25" s="746"/>
      <c r="I25" s="746"/>
      <c r="J25" s="746"/>
      <c r="K25" s="746"/>
      <c r="L25" s="746"/>
      <c r="AJ25" s="190" t="s">
        <v>283</v>
      </c>
    </row>
    <row r="26" spans="1:44" ht="15" customHeight="1">
      <c r="A26" s="731" t="s">
        <v>155</v>
      </c>
      <c r="B26" s="731"/>
      <c r="C26" s="731"/>
      <c r="D26" s="731"/>
      <c r="E26" s="183"/>
      <c r="F26" s="734" t="s">
        <v>156</v>
      </c>
      <c r="G26" s="734"/>
      <c r="H26" s="734"/>
      <c r="I26" s="734"/>
      <c r="J26" s="734"/>
      <c r="K26" s="734"/>
      <c r="L26" s="734"/>
      <c r="AR26" s="190"/>
    </row>
    <row r="27" spans="1:12" s="170" customFormat="1" ht="18.75">
      <c r="A27" s="728"/>
      <c r="B27" s="728"/>
      <c r="C27" s="728"/>
      <c r="D27" s="728"/>
      <c r="E27" s="182"/>
      <c r="F27" s="729"/>
      <c r="G27" s="729"/>
      <c r="H27" s="729"/>
      <c r="I27" s="729"/>
      <c r="J27" s="729"/>
      <c r="K27" s="729"/>
      <c r="L27" s="729"/>
    </row>
    <row r="28" spans="1:35" ht="18">
      <c r="A28" s="187"/>
      <c r="B28" s="187"/>
      <c r="C28" s="182"/>
      <c r="D28" s="182"/>
      <c r="E28" s="182"/>
      <c r="F28" s="182"/>
      <c r="G28" s="182"/>
      <c r="H28" s="182"/>
      <c r="I28" s="182"/>
      <c r="J28" s="182"/>
      <c r="K28" s="182"/>
      <c r="L28" s="182"/>
      <c r="AG28" s="233" t="s">
        <v>286</v>
      </c>
      <c r="AI28" s="190">
        <f>82/88</f>
        <v>0.9318181818181818</v>
      </c>
    </row>
    <row r="29" spans="1:12" ht="18">
      <c r="A29" s="187"/>
      <c r="B29" s="790" t="s">
        <v>289</v>
      </c>
      <c r="C29" s="790"/>
      <c r="D29" s="182"/>
      <c r="E29" s="182"/>
      <c r="F29" s="182"/>
      <c r="G29" s="182"/>
      <c r="H29" s="790" t="s">
        <v>289</v>
      </c>
      <c r="I29" s="790"/>
      <c r="J29" s="790"/>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199</v>
      </c>
      <c r="B32" s="185"/>
      <c r="C32" s="186"/>
      <c r="D32" s="186"/>
      <c r="E32" s="186"/>
      <c r="F32" s="186"/>
      <c r="G32" s="186"/>
      <c r="H32" s="186"/>
      <c r="I32" s="186"/>
      <c r="J32" s="186"/>
      <c r="K32" s="186"/>
      <c r="L32" s="186"/>
    </row>
    <row r="33" spans="1:12" s="211" customFormat="1" ht="18.75" hidden="1">
      <c r="A33" s="237"/>
      <c r="B33" s="279" t="s">
        <v>200</v>
      </c>
      <c r="C33" s="279"/>
      <c r="D33" s="279"/>
      <c r="E33" s="236"/>
      <c r="F33" s="236"/>
      <c r="G33" s="236"/>
      <c r="H33" s="236"/>
      <c r="I33" s="236"/>
      <c r="J33" s="236"/>
      <c r="K33" s="236"/>
      <c r="L33" s="236"/>
    </row>
    <row r="34" spans="1:12" s="211" customFormat="1" ht="18.75" hidden="1">
      <c r="A34" s="237"/>
      <c r="B34" s="279" t="s">
        <v>201</v>
      </c>
      <c r="C34" s="279"/>
      <c r="D34" s="279"/>
      <c r="E34" s="279"/>
      <c r="F34" s="236"/>
      <c r="G34" s="236"/>
      <c r="H34" s="236"/>
      <c r="I34" s="236"/>
      <c r="J34" s="236"/>
      <c r="K34" s="236"/>
      <c r="L34" s="236"/>
    </row>
    <row r="35" spans="1:12" s="211" customFormat="1" ht="18.75" hidden="1">
      <c r="A35" s="237"/>
      <c r="B35" s="236" t="s">
        <v>202</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26" t="s">
        <v>245</v>
      </c>
      <c r="B37" s="626"/>
      <c r="C37" s="626"/>
      <c r="D37" s="626"/>
      <c r="E37" s="210"/>
      <c r="F37" s="627" t="s">
        <v>246</v>
      </c>
      <c r="G37" s="627"/>
      <c r="H37" s="627"/>
      <c r="I37" s="627"/>
      <c r="J37" s="627"/>
      <c r="K37" s="627"/>
      <c r="L37" s="627"/>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09" t="s">
        <v>203</v>
      </c>
      <c r="B1" s="809"/>
      <c r="C1" s="809"/>
      <c r="D1" s="799" t="s">
        <v>365</v>
      </c>
      <c r="E1" s="799"/>
      <c r="F1" s="799"/>
      <c r="G1" s="799"/>
      <c r="H1" s="799"/>
      <c r="I1" s="170"/>
      <c r="J1" s="171" t="s">
        <v>359</v>
      </c>
      <c r="K1" s="280"/>
      <c r="L1" s="280"/>
    </row>
    <row r="2" spans="1:12" ht="15.75" customHeight="1">
      <c r="A2" s="813" t="s">
        <v>300</v>
      </c>
      <c r="B2" s="813"/>
      <c r="C2" s="813"/>
      <c r="D2" s="799"/>
      <c r="E2" s="799"/>
      <c r="F2" s="799"/>
      <c r="G2" s="799"/>
      <c r="H2" s="799"/>
      <c r="I2" s="170"/>
      <c r="J2" s="281" t="s">
        <v>301</v>
      </c>
      <c r="K2" s="281"/>
      <c r="L2" s="281"/>
    </row>
    <row r="3" spans="1:12" ht="18.75" customHeight="1">
      <c r="A3" s="719" t="s">
        <v>252</v>
      </c>
      <c r="B3" s="719"/>
      <c r="C3" s="719"/>
      <c r="D3" s="167"/>
      <c r="E3" s="167"/>
      <c r="F3" s="167"/>
      <c r="G3" s="167"/>
      <c r="H3" s="167"/>
      <c r="I3" s="170"/>
      <c r="J3" s="174" t="s">
        <v>358</v>
      </c>
      <c r="K3" s="174"/>
      <c r="L3" s="174"/>
    </row>
    <row r="4" spans="1:12" ht="15.75" customHeight="1">
      <c r="A4" s="810" t="s">
        <v>328</v>
      </c>
      <c r="B4" s="810"/>
      <c r="C4" s="810"/>
      <c r="D4" s="825"/>
      <c r="E4" s="825"/>
      <c r="F4" s="825"/>
      <c r="G4" s="825"/>
      <c r="H4" s="825"/>
      <c r="I4" s="170"/>
      <c r="J4" s="282" t="s">
        <v>293</v>
      </c>
      <c r="K4" s="282"/>
      <c r="L4" s="282"/>
    </row>
    <row r="5" spans="1:12" ht="15.75">
      <c r="A5" s="814"/>
      <c r="B5" s="814"/>
      <c r="C5" s="166"/>
      <c r="D5" s="170"/>
      <c r="E5" s="170"/>
      <c r="F5" s="170"/>
      <c r="G5" s="170"/>
      <c r="H5" s="283"/>
      <c r="I5" s="826" t="s">
        <v>329</v>
      </c>
      <c r="J5" s="826"/>
      <c r="K5" s="826"/>
      <c r="L5" s="826"/>
    </row>
    <row r="6" spans="1:12" ht="18.75" customHeight="1">
      <c r="A6" s="711" t="s">
        <v>57</v>
      </c>
      <c r="B6" s="712"/>
      <c r="C6" s="821" t="s">
        <v>204</v>
      </c>
      <c r="D6" s="732" t="s">
        <v>205</v>
      </c>
      <c r="E6" s="824"/>
      <c r="F6" s="733"/>
      <c r="G6" s="732" t="s">
        <v>206</v>
      </c>
      <c r="H6" s="824"/>
      <c r="I6" s="824"/>
      <c r="J6" s="824"/>
      <c r="K6" s="824"/>
      <c r="L6" s="733"/>
    </row>
    <row r="7" spans="1:12" ht="15.75" customHeight="1">
      <c r="A7" s="713"/>
      <c r="B7" s="714"/>
      <c r="C7" s="823"/>
      <c r="D7" s="732" t="s">
        <v>7</v>
      </c>
      <c r="E7" s="824"/>
      <c r="F7" s="733"/>
      <c r="G7" s="821" t="s">
        <v>30</v>
      </c>
      <c r="H7" s="732" t="s">
        <v>7</v>
      </c>
      <c r="I7" s="824"/>
      <c r="J7" s="824"/>
      <c r="K7" s="824"/>
      <c r="L7" s="733"/>
    </row>
    <row r="8" spans="1:12" ht="14.25" customHeight="1">
      <c r="A8" s="713"/>
      <c r="B8" s="714"/>
      <c r="C8" s="823"/>
      <c r="D8" s="821" t="s">
        <v>207</v>
      </c>
      <c r="E8" s="821" t="s">
        <v>208</v>
      </c>
      <c r="F8" s="821" t="s">
        <v>209</v>
      </c>
      <c r="G8" s="823"/>
      <c r="H8" s="821" t="s">
        <v>210</v>
      </c>
      <c r="I8" s="821" t="s">
        <v>211</v>
      </c>
      <c r="J8" s="821" t="s">
        <v>212</v>
      </c>
      <c r="K8" s="821" t="s">
        <v>213</v>
      </c>
      <c r="L8" s="821" t="s">
        <v>214</v>
      </c>
    </row>
    <row r="9" spans="1:12" ht="77.25" customHeight="1">
      <c r="A9" s="715"/>
      <c r="B9" s="716"/>
      <c r="C9" s="822"/>
      <c r="D9" s="822"/>
      <c r="E9" s="822"/>
      <c r="F9" s="822"/>
      <c r="G9" s="822"/>
      <c r="H9" s="822"/>
      <c r="I9" s="822"/>
      <c r="J9" s="822"/>
      <c r="K9" s="822"/>
      <c r="L9" s="822"/>
    </row>
    <row r="10" spans="1:12" s="271" customFormat="1" ht="16.5" customHeight="1">
      <c r="A10" s="815" t="s">
        <v>6</v>
      </c>
      <c r="B10" s="816"/>
      <c r="C10" s="220">
        <v>1</v>
      </c>
      <c r="D10" s="220">
        <v>2</v>
      </c>
      <c r="E10" s="220">
        <v>3</v>
      </c>
      <c r="F10" s="220">
        <v>4</v>
      </c>
      <c r="G10" s="220">
        <v>5</v>
      </c>
      <c r="H10" s="220">
        <v>6</v>
      </c>
      <c r="I10" s="220">
        <v>7</v>
      </c>
      <c r="J10" s="220">
        <v>8</v>
      </c>
      <c r="K10" s="221" t="s">
        <v>63</v>
      </c>
      <c r="L10" s="221" t="s">
        <v>83</v>
      </c>
    </row>
    <row r="11" spans="1:12" s="271" customFormat="1" ht="16.5" customHeight="1">
      <c r="A11" s="819" t="s">
        <v>297</v>
      </c>
      <c r="B11" s="820"/>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17" t="s">
        <v>298</v>
      </c>
      <c r="B12" s="818"/>
      <c r="C12" s="224">
        <v>12</v>
      </c>
      <c r="D12" s="224">
        <v>0</v>
      </c>
      <c r="E12" s="224">
        <v>1</v>
      </c>
      <c r="F12" s="224">
        <v>11</v>
      </c>
      <c r="G12" s="224">
        <v>10</v>
      </c>
      <c r="H12" s="224">
        <v>0</v>
      </c>
      <c r="I12" s="224">
        <v>0</v>
      </c>
      <c r="J12" s="224">
        <v>0</v>
      </c>
      <c r="K12" s="224">
        <v>6</v>
      </c>
      <c r="L12" s="224">
        <v>4</v>
      </c>
    </row>
    <row r="13" spans="1:32" s="271" customFormat="1" ht="16.5" customHeight="1">
      <c r="A13" s="811" t="s">
        <v>30</v>
      </c>
      <c r="B13" s="812"/>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266</v>
      </c>
    </row>
    <row r="14" spans="1:37" s="271" customFormat="1" ht="16.5" customHeight="1">
      <c r="A14" s="274" t="s">
        <v>0</v>
      </c>
      <c r="B14" s="198" t="s">
        <v>133</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267</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268</v>
      </c>
      <c r="C17" s="226">
        <f t="shared" si="2"/>
        <v>1</v>
      </c>
      <c r="D17" s="231">
        <v>0</v>
      </c>
      <c r="E17" s="231">
        <v>0</v>
      </c>
      <c r="F17" s="231">
        <v>1</v>
      </c>
      <c r="G17" s="226">
        <f t="shared" si="1"/>
        <v>1</v>
      </c>
      <c r="H17" s="231">
        <v>0</v>
      </c>
      <c r="I17" s="231">
        <v>0</v>
      </c>
      <c r="J17" s="273">
        <v>0</v>
      </c>
      <c r="K17" s="273">
        <v>0</v>
      </c>
      <c r="L17" s="273">
        <v>1</v>
      </c>
      <c r="M17" s="285"/>
      <c r="AF17" s="199" t="s">
        <v>269</v>
      </c>
    </row>
    <row r="18" spans="1:14" s="271" customFormat="1" ht="15.75" customHeight="1">
      <c r="A18" s="200">
        <v>3</v>
      </c>
      <c r="B18" s="68" t="s">
        <v>270</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271</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272</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273</v>
      </c>
      <c r="C21" s="226">
        <f t="shared" si="2"/>
        <v>0</v>
      </c>
      <c r="D21" s="231">
        <v>0</v>
      </c>
      <c r="E21" s="231">
        <v>0</v>
      </c>
      <c r="F21" s="231">
        <v>0</v>
      </c>
      <c r="G21" s="226">
        <f t="shared" si="1"/>
        <v>0</v>
      </c>
      <c r="H21" s="231">
        <v>0</v>
      </c>
      <c r="I21" s="231">
        <v>0</v>
      </c>
      <c r="J21" s="273">
        <v>0</v>
      </c>
      <c r="K21" s="273">
        <v>0</v>
      </c>
      <c r="L21" s="273">
        <v>0</v>
      </c>
      <c r="M21" s="285"/>
      <c r="AJ21" s="271" t="s">
        <v>274</v>
      </c>
      <c r="AK21" s="271" t="s">
        <v>275</v>
      </c>
      <c r="AL21" s="271" t="s">
        <v>276</v>
      </c>
      <c r="AM21" s="199" t="s">
        <v>277</v>
      </c>
    </row>
    <row r="22" spans="1:39" s="271" customFormat="1" ht="15.75" customHeight="1">
      <c r="A22" s="200">
        <v>7</v>
      </c>
      <c r="B22" s="68" t="s">
        <v>278</v>
      </c>
      <c r="C22" s="226">
        <f t="shared" si="2"/>
        <v>0</v>
      </c>
      <c r="D22" s="231">
        <v>0</v>
      </c>
      <c r="E22" s="231">
        <v>0</v>
      </c>
      <c r="F22" s="231">
        <v>0</v>
      </c>
      <c r="G22" s="226">
        <f t="shared" si="1"/>
        <v>0</v>
      </c>
      <c r="H22" s="231">
        <v>0</v>
      </c>
      <c r="I22" s="231">
        <v>0</v>
      </c>
      <c r="J22" s="273">
        <v>0</v>
      </c>
      <c r="K22" s="273">
        <v>0</v>
      </c>
      <c r="L22" s="273">
        <v>0</v>
      </c>
      <c r="M22" s="285"/>
      <c r="N22" s="178"/>
      <c r="AM22" s="199" t="s">
        <v>279</v>
      </c>
    </row>
    <row r="23" spans="1:13" s="271" customFormat="1" ht="15.75" customHeight="1">
      <c r="A23" s="200">
        <v>8</v>
      </c>
      <c r="B23" s="68" t="s">
        <v>280</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281</v>
      </c>
      <c r="C24" s="226">
        <f t="shared" si="2"/>
        <v>0</v>
      </c>
      <c r="D24" s="231">
        <v>0</v>
      </c>
      <c r="E24" s="231">
        <v>0</v>
      </c>
      <c r="F24" s="231">
        <v>0</v>
      </c>
      <c r="G24" s="226">
        <f t="shared" si="1"/>
        <v>0</v>
      </c>
      <c r="H24" s="231">
        <v>0</v>
      </c>
      <c r="I24" s="231">
        <v>0</v>
      </c>
      <c r="J24" s="273">
        <v>0</v>
      </c>
      <c r="K24" s="273">
        <v>0</v>
      </c>
      <c r="L24" s="273">
        <v>0</v>
      </c>
      <c r="M24" s="285"/>
      <c r="AJ24" s="271" t="s">
        <v>274</v>
      </c>
    </row>
    <row r="25" spans="1:36" s="271" customFormat="1" ht="15.75" customHeight="1">
      <c r="A25" s="200">
        <v>10</v>
      </c>
      <c r="B25" s="68" t="s">
        <v>282</v>
      </c>
      <c r="C25" s="226">
        <f t="shared" si="2"/>
        <v>1</v>
      </c>
      <c r="D25" s="231">
        <v>0</v>
      </c>
      <c r="E25" s="231">
        <v>0</v>
      </c>
      <c r="F25" s="231">
        <v>1</v>
      </c>
      <c r="G25" s="226">
        <f t="shared" si="1"/>
        <v>1</v>
      </c>
      <c r="H25" s="231">
        <v>0</v>
      </c>
      <c r="I25" s="231">
        <v>0</v>
      </c>
      <c r="J25" s="273">
        <v>0</v>
      </c>
      <c r="K25" s="273">
        <v>0</v>
      </c>
      <c r="L25" s="273">
        <v>1</v>
      </c>
      <c r="M25" s="285"/>
      <c r="AJ25" s="199" t="s">
        <v>283</v>
      </c>
    </row>
    <row r="26" spans="1:44" s="271" customFormat="1" ht="15.75" customHeight="1">
      <c r="A26" s="200">
        <v>11</v>
      </c>
      <c r="B26" s="68" t="s">
        <v>284</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41" t="s">
        <v>285</v>
      </c>
      <c r="B28" s="741"/>
      <c r="C28" s="741"/>
      <c r="D28" s="741"/>
      <c r="E28" s="741"/>
      <c r="F28" s="182"/>
      <c r="G28" s="181"/>
      <c r="H28" s="294" t="s">
        <v>330</v>
      </c>
      <c r="I28" s="295"/>
      <c r="J28" s="295"/>
      <c r="K28" s="295"/>
      <c r="L28" s="295"/>
      <c r="AG28" s="233" t="s">
        <v>286</v>
      </c>
      <c r="AI28" s="190">
        <f>82/88</f>
        <v>0.9318181818181818</v>
      </c>
    </row>
    <row r="29" spans="1:12" ht="15" customHeight="1">
      <c r="A29" s="731" t="s">
        <v>4</v>
      </c>
      <c r="B29" s="731"/>
      <c r="C29" s="731"/>
      <c r="D29" s="731"/>
      <c r="E29" s="731"/>
      <c r="F29" s="182"/>
      <c r="G29" s="183"/>
      <c r="H29" s="734" t="s">
        <v>156</v>
      </c>
      <c r="I29" s="734"/>
      <c r="J29" s="734"/>
      <c r="K29" s="734"/>
      <c r="L29" s="734"/>
    </row>
    <row r="30" spans="1:14" s="170" customFormat="1" ht="18.75">
      <c r="A30" s="728"/>
      <c r="B30" s="728"/>
      <c r="C30" s="728"/>
      <c r="D30" s="728"/>
      <c r="E30" s="728"/>
      <c r="F30" s="296"/>
      <c r="G30" s="182"/>
      <c r="H30" s="729"/>
      <c r="I30" s="729"/>
      <c r="J30" s="729"/>
      <c r="K30" s="729"/>
      <c r="L30" s="729"/>
      <c r="M30" s="297"/>
      <c r="N30" s="297"/>
    </row>
    <row r="31" spans="1:12" ht="18">
      <c r="A31" s="182"/>
      <c r="B31" s="182"/>
      <c r="C31" s="182"/>
      <c r="D31" s="182"/>
      <c r="E31" s="182"/>
      <c r="F31" s="182"/>
      <c r="G31" s="182"/>
      <c r="H31" s="182"/>
      <c r="I31" s="182"/>
      <c r="J31" s="182"/>
      <c r="K31" s="182"/>
      <c r="L31" s="298"/>
    </row>
    <row r="32" spans="1:12" ht="18">
      <c r="A32" s="182"/>
      <c r="B32" s="790" t="s">
        <v>289</v>
      </c>
      <c r="C32" s="790"/>
      <c r="D32" s="790"/>
      <c r="E32" s="790"/>
      <c r="F32" s="182"/>
      <c r="G32" s="182"/>
      <c r="H32" s="182"/>
      <c r="I32" s="790" t="s">
        <v>289</v>
      </c>
      <c r="J32" s="790"/>
      <c r="K32" s="790"/>
      <c r="L32" s="298"/>
    </row>
    <row r="33" spans="1:12" ht="10.5" customHeight="1">
      <c r="A33" s="182"/>
      <c r="B33" s="182"/>
      <c r="C33" s="299" t="s">
        <v>288</v>
      </c>
      <c r="D33" s="299"/>
      <c r="E33" s="299"/>
      <c r="F33" s="299"/>
      <c r="G33" s="299"/>
      <c r="H33" s="299"/>
      <c r="I33" s="299"/>
      <c r="J33" s="300" t="s">
        <v>288</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27" t="s">
        <v>215</v>
      </c>
      <c r="C40" s="827"/>
      <c r="D40" s="827"/>
      <c r="E40" s="827"/>
      <c r="F40" s="827"/>
      <c r="G40" s="303"/>
      <c r="H40" s="301"/>
      <c r="I40" s="301"/>
      <c r="J40" s="301"/>
      <c r="K40" s="301"/>
      <c r="L40" s="301"/>
      <c r="M40" s="265"/>
      <c r="N40" s="265"/>
      <c r="O40" s="265"/>
      <c r="P40" s="265"/>
    </row>
    <row r="41" spans="1:12" ht="12.75" customHeight="1" hidden="1">
      <c r="A41" s="182"/>
      <c r="B41" s="279" t="s">
        <v>216</v>
      </c>
      <c r="C41" s="304"/>
      <c r="D41" s="304"/>
      <c r="E41" s="304"/>
      <c r="F41" s="304"/>
      <c r="G41" s="182"/>
      <c r="H41" s="301"/>
      <c r="I41" s="301"/>
      <c r="J41" s="301"/>
      <c r="K41" s="301"/>
      <c r="L41" s="301"/>
    </row>
    <row r="42" spans="1:12" ht="12.75" customHeight="1" hidden="1">
      <c r="A42" s="182"/>
      <c r="B42" s="236" t="s">
        <v>217</v>
      </c>
      <c r="C42" s="304"/>
      <c r="D42" s="304"/>
      <c r="E42" s="304"/>
      <c r="F42" s="304"/>
      <c r="G42" s="182"/>
      <c r="H42" s="301"/>
      <c r="I42" s="301"/>
      <c r="J42" s="301"/>
      <c r="K42" s="301"/>
      <c r="L42" s="301"/>
    </row>
    <row r="43" spans="1:12" ht="18.75">
      <c r="A43" s="626" t="s">
        <v>331</v>
      </c>
      <c r="B43" s="626"/>
      <c r="C43" s="626"/>
      <c r="D43" s="626"/>
      <c r="E43" s="626"/>
      <c r="F43" s="182"/>
      <c r="G43" s="301"/>
      <c r="H43" s="627" t="s">
        <v>246</v>
      </c>
      <c r="I43" s="627"/>
      <c r="J43" s="627"/>
      <c r="K43" s="627"/>
      <c r="L43" s="627"/>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22" t="s">
        <v>218</v>
      </c>
      <c r="B1" s="722"/>
      <c r="C1" s="722"/>
      <c r="D1" s="722"/>
      <c r="E1" s="306"/>
      <c r="F1" s="717" t="s">
        <v>366</v>
      </c>
      <c r="G1" s="717"/>
      <c r="H1" s="717"/>
      <c r="I1" s="717"/>
      <c r="J1" s="717"/>
      <c r="K1" s="717"/>
      <c r="L1" s="717"/>
      <c r="M1" s="717"/>
      <c r="N1" s="717"/>
      <c r="O1" s="717"/>
      <c r="P1" s="307" t="s">
        <v>290</v>
      </c>
      <c r="Q1" s="308"/>
      <c r="R1" s="308"/>
      <c r="S1" s="308"/>
      <c r="T1" s="308"/>
    </row>
    <row r="2" spans="1:20" s="177" customFormat="1" ht="20.25" customHeight="1">
      <c r="A2" s="829" t="s">
        <v>300</v>
      </c>
      <c r="B2" s="829"/>
      <c r="C2" s="829"/>
      <c r="D2" s="829"/>
      <c r="E2" s="306"/>
      <c r="F2" s="717"/>
      <c r="G2" s="717"/>
      <c r="H2" s="717"/>
      <c r="I2" s="717"/>
      <c r="J2" s="717"/>
      <c r="K2" s="717"/>
      <c r="L2" s="717"/>
      <c r="M2" s="717"/>
      <c r="N2" s="717"/>
      <c r="O2" s="717"/>
      <c r="P2" s="308" t="s">
        <v>332</v>
      </c>
      <c r="Q2" s="308"/>
      <c r="R2" s="308"/>
      <c r="S2" s="308"/>
      <c r="T2" s="308"/>
    </row>
    <row r="3" spans="1:20" s="177" customFormat="1" ht="15" customHeight="1">
      <c r="A3" s="829" t="s">
        <v>252</v>
      </c>
      <c r="B3" s="829"/>
      <c r="C3" s="829"/>
      <c r="D3" s="829"/>
      <c r="E3" s="306"/>
      <c r="F3" s="717"/>
      <c r="G3" s="717"/>
      <c r="H3" s="717"/>
      <c r="I3" s="717"/>
      <c r="J3" s="717"/>
      <c r="K3" s="717"/>
      <c r="L3" s="717"/>
      <c r="M3" s="717"/>
      <c r="N3" s="717"/>
      <c r="O3" s="717"/>
      <c r="P3" s="307" t="s">
        <v>358</v>
      </c>
      <c r="Q3" s="307"/>
      <c r="R3" s="307"/>
      <c r="S3" s="309"/>
      <c r="T3" s="309"/>
    </row>
    <row r="4" spans="1:20" s="177" customFormat="1" ht="15.75" customHeight="1">
      <c r="A4" s="833" t="s">
        <v>333</v>
      </c>
      <c r="B4" s="833"/>
      <c r="C4" s="833"/>
      <c r="D4" s="833"/>
      <c r="E4" s="307"/>
      <c r="F4" s="717"/>
      <c r="G4" s="717"/>
      <c r="H4" s="717"/>
      <c r="I4" s="717"/>
      <c r="J4" s="717"/>
      <c r="K4" s="717"/>
      <c r="L4" s="717"/>
      <c r="M4" s="717"/>
      <c r="N4" s="717"/>
      <c r="O4" s="717"/>
      <c r="P4" s="308" t="s">
        <v>302</v>
      </c>
      <c r="Q4" s="307"/>
      <c r="R4" s="307"/>
      <c r="S4" s="309"/>
      <c r="T4" s="309"/>
    </row>
    <row r="5" spans="1:18" s="177" customFormat="1" ht="24" customHeight="1">
      <c r="A5" s="310"/>
      <c r="B5" s="310"/>
      <c r="C5" s="310"/>
      <c r="F5" s="830"/>
      <c r="G5" s="830"/>
      <c r="H5" s="830"/>
      <c r="I5" s="830"/>
      <c r="J5" s="830"/>
      <c r="K5" s="830"/>
      <c r="L5" s="830"/>
      <c r="M5" s="830"/>
      <c r="N5" s="830"/>
      <c r="O5" s="830"/>
      <c r="P5" s="311" t="s">
        <v>334</v>
      </c>
      <c r="Q5" s="312"/>
      <c r="R5" s="312"/>
    </row>
    <row r="6" spans="1:20" s="313" customFormat="1" ht="21.75" customHeight="1">
      <c r="A6" s="836" t="s">
        <v>57</v>
      </c>
      <c r="B6" s="837"/>
      <c r="C6" s="725" t="s">
        <v>31</v>
      </c>
      <c r="D6" s="709"/>
      <c r="E6" s="725" t="s">
        <v>7</v>
      </c>
      <c r="F6" s="828"/>
      <c r="G6" s="828"/>
      <c r="H6" s="828"/>
      <c r="I6" s="828"/>
      <c r="J6" s="828"/>
      <c r="K6" s="828"/>
      <c r="L6" s="828"/>
      <c r="M6" s="828"/>
      <c r="N6" s="828"/>
      <c r="O6" s="828"/>
      <c r="P6" s="828"/>
      <c r="Q6" s="828"/>
      <c r="R6" s="828"/>
      <c r="S6" s="828"/>
      <c r="T6" s="709"/>
    </row>
    <row r="7" spans="1:21" s="313" customFormat="1" ht="22.5" customHeight="1">
      <c r="A7" s="838"/>
      <c r="B7" s="839"/>
      <c r="C7" s="742" t="s">
        <v>335</v>
      </c>
      <c r="D7" s="742" t="s">
        <v>336</v>
      </c>
      <c r="E7" s="725" t="s">
        <v>219</v>
      </c>
      <c r="F7" s="840"/>
      <c r="G7" s="840"/>
      <c r="H7" s="840"/>
      <c r="I7" s="840"/>
      <c r="J7" s="840"/>
      <c r="K7" s="840"/>
      <c r="L7" s="841"/>
      <c r="M7" s="725" t="s">
        <v>337</v>
      </c>
      <c r="N7" s="828"/>
      <c r="O7" s="828"/>
      <c r="P7" s="828"/>
      <c r="Q7" s="828"/>
      <c r="R7" s="828"/>
      <c r="S7" s="828"/>
      <c r="T7" s="709"/>
      <c r="U7" s="314"/>
    </row>
    <row r="8" spans="1:20" s="313" customFormat="1" ht="42.75" customHeight="1">
      <c r="A8" s="838"/>
      <c r="B8" s="839"/>
      <c r="C8" s="743"/>
      <c r="D8" s="743"/>
      <c r="E8" s="706" t="s">
        <v>338</v>
      </c>
      <c r="F8" s="706"/>
      <c r="G8" s="725" t="s">
        <v>339</v>
      </c>
      <c r="H8" s="828"/>
      <c r="I8" s="828"/>
      <c r="J8" s="828"/>
      <c r="K8" s="828"/>
      <c r="L8" s="709"/>
      <c r="M8" s="706" t="s">
        <v>340</v>
      </c>
      <c r="N8" s="706"/>
      <c r="O8" s="725" t="s">
        <v>339</v>
      </c>
      <c r="P8" s="828"/>
      <c r="Q8" s="828"/>
      <c r="R8" s="828"/>
      <c r="S8" s="828"/>
      <c r="T8" s="709"/>
    </row>
    <row r="9" spans="1:20" s="313" customFormat="1" ht="35.25" customHeight="1">
      <c r="A9" s="838"/>
      <c r="B9" s="839"/>
      <c r="C9" s="743"/>
      <c r="D9" s="743"/>
      <c r="E9" s="742" t="s">
        <v>220</v>
      </c>
      <c r="F9" s="742" t="s">
        <v>221</v>
      </c>
      <c r="G9" s="831" t="s">
        <v>222</v>
      </c>
      <c r="H9" s="832"/>
      <c r="I9" s="831" t="s">
        <v>223</v>
      </c>
      <c r="J9" s="832"/>
      <c r="K9" s="831" t="s">
        <v>224</v>
      </c>
      <c r="L9" s="832"/>
      <c r="M9" s="742" t="s">
        <v>225</v>
      </c>
      <c r="N9" s="742" t="s">
        <v>221</v>
      </c>
      <c r="O9" s="831" t="s">
        <v>222</v>
      </c>
      <c r="P9" s="832"/>
      <c r="Q9" s="831" t="s">
        <v>226</v>
      </c>
      <c r="R9" s="832"/>
      <c r="S9" s="831" t="s">
        <v>227</v>
      </c>
      <c r="T9" s="832"/>
    </row>
    <row r="10" spans="1:20" s="313" customFormat="1" ht="25.5" customHeight="1">
      <c r="A10" s="831"/>
      <c r="B10" s="832"/>
      <c r="C10" s="744"/>
      <c r="D10" s="744"/>
      <c r="E10" s="744"/>
      <c r="F10" s="744"/>
      <c r="G10" s="215" t="s">
        <v>225</v>
      </c>
      <c r="H10" s="215" t="s">
        <v>221</v>
      </c>
      <c r="I10" s="219" t="s">
        <v>225</v>
      </c>
      <c r="J10" s="215" t="s">
        <v>221</v>
      </c>
      <c r="K10" s="219" t="s">
        <v>225</v>
      </c>
      <c r="L10" s="215" t="s">
        <v>221</v>
      </c>
      <c r="M10" s="744"/>
      <c r="N10" s="744"/>
      <c r="O10" s="215" t="s">
        <v>225</v>
      </c>
      <c r="P10" s="215" t="s">
        <v>221</v>
      </c>
      <c r="Q10" s="219" t="s">
        <v>225</v>
      </c>
      <c r="R10" s="215" t="s">
        <v>221</v>
      </c>
      <c r="S10" s="219" t="s">
        <v>225</v>
      </c>
      <c r="T10" s="215" t="s">
        <v>221</v>
      </c>
    </row>
    <row r="11" spans="1:32" s="222" customFormat="1" ht="12.75">
      <c r="A11" s="845" t="s">
        <v>6</v>
      </c>
      <c r="B11" s="846"/>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266</v>
      </c>
    </row>
    <row r="12" spans="1:20" s="222" customFormat="1" ht="20.25" customHeight="1">
      <c r="A12" s="834" t="s">
        <v>322</v>
      </c>
      <c r="B12" s="835"/>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43" t="s">
        <v>298</v>
      </c>
      <c r="B13" s="844"/>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47" t="s">
        <v>30</v>
      </c>
      <c r="B14" s="848"/>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133</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267</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269</v>
      </c>
    </row>
    <row r="18" spans="1:20" s="178" customFormat="1" ht="15.75" customHeight="1">
      <c r="A18" s="200">
        <v>2</v>
      </c>
      <c r="B18" s="68" t="s">
        <v>299</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270</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271</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272</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274</v>
      </c>
      <c r="AK21" s="178" t="s">
        <v>275</v>
      </c>
      <c r="AL21" s="178" t="s">
        <v>276</v>
      </c>
      <c r="AM21" s="199" t="s">
        <v>277</v>
      </c>
    </row>
    <row r="22" spans="1:39" s="178" customFormat="1" ht="15.75" customHeight="1">
      <c r="A22" s="200">
        <v>6</v>
      </c>
      <c r="B22" s="68" t="s">
        <v>273</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279</v>
      </c>
    </row>
    <row r="23" spans="1:20" s="178" customFormat="1" ht="15.75" customHeight="1">
      <c r="A23" s="200">
        <v>7</v>
      </c>
      <c r="B23" s="68" t="s">
        <v>278</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280</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274</v>
      </c>
    </row>
    <row r="25" spans="1:36" s="178" customFormat="1" ht="15.75" customHeight="1">
      <c r="A25" s="200">
        <v>9</v>
      </c>
      <c r="B25" s="68" t="s">
        <v>281</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283</v>
      </c>
    </row>
    <row r="26" spans="1:44" s="178" customFormat="1" ht="15.75" customHeight="1">
      <c r="A26" s="200">
        <v>10</v>
      </c>
      <c r="B26" s="68" t="s">
        <v>282</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284</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286</v>
      </c>
      <c r="AI28" s="190">
        <f>82/88</f>
        <v>0.9318181818181818</v>
      </c>
    </row>
    <row r="29" spans="1:20" ht="15.75" customHeight="1">
      <c r="A29" s="180"/>
      <c r="B29" s="741" t="s">
        <v>285</v>
      </c>
      <c r="C29" s="741"/>
      <c r="D29" s="741"/>
      <c r="E29" s="741"/>
      <c r="F29" s="741"/>
      <c r="G29" s="741"/>
      <c r="H29" s="181"/>
      <c r="I29" s="181"/>
      <c r="J29" s="182"/>
      <c r="K29" s="181"/>
      <c r="L29" s="746" t="s">
        <v>285</v>
      </c>
      <c r="M29" s="746"/>
      <c r="N29" s="746"/>
      <c r="O29" s="746"/>
      <c r="P29" s="746"/>
      <c r="Q29" s="746"/>
      <c r="R29" s="746"/>
      <c r="S29" s="746"/>
      <c r="T29" s="746"/>
    </row>
    <row r="30" spans="1:20" ht="15" customHeight="1">
      <c r="A30" s="180"/>
      <c r="B30" s="731" t="s">
        <v>35</v>
      </c>
      <c r="C30" s="731"/>
      <c r="D30" s="731"/>
      <c r="E30" s="731"/>
      <c r="F30" s="731"/>
      <c r="G30" s="731"/>
      <c r="H30" s="183"/>
      <c r="I30" s="183"/>
      <c r="J30" s="183"/>
      <c r="K30" s="183"/>
      <c r="L30" s="734" t="s">
        <v>244</v>
      </c>
      <c r="M30" s="734"/>
      <c r="N30" s="734"/>
      <c r="O30" s="734"/>
      <c r="P30" s="734"/>
      <c r="Q30" s="734"/>
      <c r="R30" s="734"/>
      <c r="S30" s="734"/>
      <c r="T30" s="734"/>
    </row>
    <row r="31" spans="1:20" s="320" customFormat="1" ht="18.75">
      <c r="A31" s="318"/>
      <c r="B31" s="728"/>
      <c r="C31" s="728"/>
      <c r="D31" s="728"/>
      <c r="E31" s="728"/>
      <c r="F31" s="728"/>
      <c r="G31" s="319"/>
      <c r="H31" s="319"/>
      <c r="I31" s="319"/>
      <c r="J31" s="319"/>
      <c r="K31" s="319"/>
      <c r="L31" s="729"/>
      <c r="M31" s="729"/>
      <c r="N31" s="729"/>
      <c r="O31" s="729"/>
      <c r="P31" s="729"/>
      <c r="Q31" s="729"/>
      <c r="R31" s="729"/>
      <c r="S31" s="729"/>
      <c r="T31" s="72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42" t="s">
        <v>289</v>
      </c>
      <c r="C33" s="842"/>
      <c r="D33" s="842"/>
      <c r="E33" s="842"/>
      <c r="F33" s="842"/>
      <c r="G33" s="321"/>
      <c r="H33" s="321"/>
      <c r="I33" s="321"/>
      <c r="J33" s="321"/>
      <c r="K33" s="321"/>
      <c r="L33" s="321"/>
      <c r="M33" s="321"/>
      <c r="N33" s="321"/>
      <c r="O33" s="842" t="s">
        <v>289</v>
      </c>
      <c r="P33" s="842"/>
      <c r="Q33" s="842"/>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215</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216</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228</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26" t="s">
        <v>245</v>
      </c>
      <c r="C39" s="626"/>
      <c r="D39" s="626"/>
      <c r="E39" s="626"/>
      <c r="F39" s="626"/>
      <c r="G39" s="626"/>
      <c r="H39" s="182"/>
      <c r="I39" s="182"/>
      <c r="J39" s="182"/>
      <c r="K39" s="182"/>
      <c r="L39" s="627" t="s">
        <v>246</v>
      </c>
      <c r="M39" s="627"/>
      <c r="N39" s="627"/>
      <c r="O39" s="627"/>
      <c r="P39" s="627"/>
      <c r="Q39" s="627"/>
      <c r="R39" s="627"/>
      <c r="S39" s="627"/>
      <c r="T39" s="627"/>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O33:Q33"/>
    <mergeCell ref="A13:B13"/>
    <mergeCell ref="A11:B11"/>
    <mergeCell ref="A14:B14"/>
    <mergeCell ref="E7:L7"/>
    <mergeCell ref="E8:F8"/>
    <mergeCell ref="M9:M10"/>
    <mergeCell ref="G9:H9"/>
    <mergeCell ref="B33:F33"/>
    <mergeCell ref="B29:G29"/>
    <mergeCell ref="B31:F31"/>
    <mergeCell ref="L31:T31"/>
    <mergeCell ref="M8:N8"/>
    <mergeCell ref="A12:B12"/>
    <mergeCell ref="S9:T9"/>
    <mergeCell ref="A6:B10"/>
    <mergeCell ref="M7:T7"/>
    <mergeCell ref="O9:P9"/>
    <mergeCell ref="K9:L9"/>
    <mergeCell ref="Q9:R9"/>
    <mergeCell ref="D7:D10"/>
    <mergeCell ref="F1:O4"/>
    <mergeCell ref="F9:F10"/>
    <mergeCell ref="N9:N10"/>
    <mergeCell ref="A4:D4"/>
    <mergeCell ref="B39:G39"/>
    <mergeCell ref="L29:T29"/>
    <mergeCell ref="L30:T30"/>
    <mergeCell ref="L39:T39"/>
    <mergeCell ref="B30:G30"/>
    <mergeCell ref="G8:L8"/>
    <mergeCell ref="E6:T6"/>
    <mergeCell ref="A1:D1"/>
    <mergeCell ref="A3:D3"/>
    <mergeCell ref="F5:O5"/>
    <mergeCell ref="O8:T8"/>
    <mergeCell ref="I9:J9"/>
    <mergeCell ref="E9:E10"/>
    <mergeCell ref="A2:D2"/>
    <mergeCell ref="C6:D6"/>
    <mergeCell ref="C7:C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2016-11-09T03:18:44Z</cp:lastPrinted>
  <dcterms:created xsi:type="dcterms:W3CDTF">2004-03-07T02:36:29Z</dcterms:created>
  <dcterms:modified xsi:type="dcterms:W3CDTF">2016-12-05T01:37:31Z</dcterms:modified>
  <cp:category/>
  <cp:version/>
  <cp:contentType/>
  <cp:contentStatus/>
</cp:coreProperties>
</file>